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emf" ContentType="image/x-emf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08" yWindow="-108" windowWidth="23256" windowHeight="12576"/>
  </bookViews>
  <sheets>
    <sheet name="Orçamento Comparativo" sheetId="7" r:id="rId1"/>
    <sheet name="Orçamento atual. 09-21" sheetId="9" r:id="rId2"/>
    <sheet name="Cronograma NOVO" sheetId="8" r:id="rId3"/>
    <sheet name="Plan2" sheetId="2" r:id="rId4"/>
    <sheet name="BM 01" sheetId="3" r:id="rId5"/>
    <sheet name="BM 02" sheetId="4" r:id="rId6"/>
    <sheet name="BM 03" sheetId="5" r:id="rId7"/>
    <sheet name="BM 04" sheetId="6" r:id="rId8"/>
  </sheets>
  <externalReferences>
    <externalReference r:id="rId9"/>
    <externalReference r:id="rId10"/>
    <externalReference r:id="rId11"/>
  </externalReferences>
  <definedNames>
    <definedName name="_xlnm.Print_Area" localSheetId="0">'Orçamento Comparativo'!$A$5:$P$109</definedName>
    <definedName name="arredmed">IF(#REF!=TRUE,2,15)</definedName>
    <definedName name="arredquant">IF(#REF!=TRUE,2,15)</definedName>
    <definedName name="arredtot">IF(#REF!=TRUE,2,15)</definedName>
    <definedName name="arredunit">IF(#REF!=TRUE,2,15)</definedName>
    <definedName name="BM.ColunaPTotal2">#REF!</definedName>
    <definedName name="BM.Dados">#REF!</definedName>
    <definedName name="BM.LinhaPadrão">#REF!</definedName>
    <definedName name="CAIXA.AcumuladoAtual">OFFSET(#REF!,1,0):OFFSET(#REF!,-1,0)</definedName>
    <definedName name="CAIXA.ÁreaImpressão">#REF!</definedName>
    <definedName name="CAIXA.Colunas">#REF!</definedName>
    <definedName name="CAIXA.Declaração">#REF!</definedName>
    <definedName name="CAIXA.modo">#REF!</definedName>
    <definedName name="dataInicioObra">[1]DADOS!$I$29</definedName>
    <definedName name="datam">IF(DAY(DATE(YEAR(dataInicioObra),MONTH(dataInicioObra)+#REF!,DAY(dataInicioObra)))=DAY(dataInicioObra),DATE(YEAR(dataInicioObra),MONTH(dataInicioObra)+#REF!,DAY(dataInicioObra)),DATE(YEAR(dataInicioObra),MONTH(dataInicioObra)+1+#REF!,1)-1)</definedName>
    <definedName name="EXCELVERSAO">IF(MID(INFO("SOLTAR"),1,2)*1&lt;=11,"Excel 2003","Superior")</definedName>
    <definedName name="glosas">#REF!</definedName>
    <definedName name="Import.DataAssinaturaCR">[1]DADOS!#REF!</definedName>
    <definedName name="Import.Descrição">OFFSET(#REF!,1,0):OFFSET(#REF!,-1,0)</definedName>
    <definedName name="Import.Item">OFFSET(#REF!,1,0):OFFSET(#REF!,-1,0)</definedName>
    <definedName name="Import.Município" hidden="1">[2]DADOS!$F$6</definedName>
    <definedName name="Import.Nível">OFFSET(#REF!,1,0):OFFSET(#REF!,-1,0)</definedName>
    <definedName name="Import.PreçoTotal">OFFSET(#REF!,1,0):OFFSET(#REF!,-1,0)</definedName>
    <definedName name="Import.PreçoUnitário">OFFSET(#REF!,1,0):OFFSET(#REF!,-1,0)</definedName>
    <definedName name="Import.Proponente" hidden="1">[2]DADOS!$F$5</definedName>
    <definedName name="Import.Quantidade">OFFSET(#REF!,1,0):OFFSET(#REF!,-1,0)</definedName>
    <definedName name="import.recurso" hidden="1">[2]DADOS!$F$4</definedName>
    <definedName name="Import.RegimeExecução">[1]DADOS!$A$34</definedName>
    <definedName name="Import.Unidade">OFFSET(#REF!,1,0):OFFSET(#REF!,-1,0)</definedName>
    <definedName name="mediçao">#REF!</definedName>
    <definedName name="NomeModelo">#REF!</definedName>
    <definedName name="numlinhaCrono">ROW('Cronograma NOVO'!#REF!)-ROW('Cronograma NOVO'!#REF!)+1</definedName>
    <definedName name="numLinhas">ROW(#REF!)-ROW(OFFSET(#REF!,1,0))</definedName>
    <definedName name="ORÇAMENTO.OpcaoCusto">#REF!</definedName>
    <definedName name="periodoMedicao">COUNTIF(#REF!,"&lt;="&amp;OFFSET(#REF!,0,mediçao-1)-7)+1</definedName>
    <definedName name="RegimeExecucao">IF(OR(Import.RegimeExecução="",Import.RegimeExecução="Empreitada Preço Global",Import.RegimeExecução="Empreitada Integral"),"Global","Unitário")</definedName>
    <definedName name="SENHAGT" hidden="1">"medectef"</definedName>
    <definedName name="SomaAgrup">SUMIF(OFFSET(#REF!,1,0,#REF!),"S",OFFSET(#REF!,1,0,#REF!))</definedName>
    <definedName name="SumCrono">SUMIF(OFFSET('Cronograma NOVO'!$B1,1,0,'Cronograma NOVO'!$A1),'Cronograma NOVO'!$J1,OFFSET('Cronograma NOVO'!A1,1,0,'Cronograma NOVO'!$A1))</definedName>
    <definedName name="TIPOORCAMENTO" hidden="1">IF(VALUE([2]MENU!$O$3)=2,"Licitado","Proposto")</definedName>
    <definedName name="_xlnm.Print_Titles" localSheetId="6">'BM 03'!$1:$4</definedName>
    <definedName name="_xlnm.Print_Titles" localSheetId="7">'BM 04'!$1:$4</definedName>
    <definedName name="_xlnm.Print_Titles" localSheetId="1">'Orçamento atual. 09-21'!$1:$3</definedName>
    <definedName name="_xlnm.Print_Titles" localSheetId="0">'Orçamento Comparativo'!$1:$3</definedName>
    <definedName name="Tomador.AcumuladoAtual">OFFSET(#REF!,1,0):OFFSET(#REF!,-1,0)</definedName>
    <definedName name="Tomador.ÁreaImpressão">#REF!</definedName>
    <definedName name="Tomador.Colunas">#REF!</definedName>
    <definedName name="Tomador.Declaração">#REF!</definedName>
    <definedName name="Tomador.DeclaraçãoBkp">#REF!</definedName>
    <definedName name="Tomador.Obs">#REF!</definedName>
    <definedName name="Tomador.ObsBkp">#REF!</definedName>
    <definedName name="total">ROUND(ROUND(#REF!,arredquant)*ROUND(#REF!,arredunit),arredtot)</definedName>
    <definedName name="VTOTAL">IF(#REF!=0,0,CHOOSE(MATCH(RegimeExecucao,{"Global","Unitário"},0),ROUND(ROUND(#REF!,arredmed)/100*#REF!,arredtot),ROUND(ROUND(#REF!,arredmed)*ROUND(#REF!,arredunit),arredtot)))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71" i="6"/>
  <c r="V60"/>
  <c r="V68" l="1"/>
  <c r="V62" s="1"/>
  <c r="V63"/>
  <c r="V49"/>
  <c r="V48"/>
  <c r="V47"/>
  <c r="V39"/>
  <c r="V38" s="1"/>
  <c r="V33"/>
  <c r="V26" s="1"/>
  <c r="V30"/>
  <c r="V28"/>
  <c r="V23"/>
  <c r="V22" s="1"/>
  <c r="V21"/>
  <c r="V20"/>
  <c r="V24"/>
  <c r="V27"/>
  <c r="V29"/>
  <c r="V31"/>
  <c r="V32"/>
  <c r="V34"/>
  <c r="V36"/>
  <c r="V37"/>
  <c r="V35" s="1"/>
  <c r="V92"/>
  <c r="V90"/>
  <c r="V80"/>
  <c r="V74"/>
  <c r="V69"/>
  <c r="V59"/>
  <c r="V51"/>
  <c r="V50" s="1"/>
  <c r="V95"/>
  <c r="V94"/>
  <c r="V93"/>
  <c r="V91"/>
  <c r="V82"/>
  <c r="V83"/>
  <c r="V84"/>
  <c r="V85"/>
  <c r="V86"/>
  <c r="V87"/>
  <c r="V88"/>
  <c r="V89"/>
  <c r="V81"/>
  <c r="V76"/>
  <c r="V77"/>
  <c r="V78"/>
  <c r="V79"/>
  <c r="V75"/>
  <c r="V72"/>
  <c r="V73"/>
  <c r="V70"/>
  <c r="V64"/>
  <c r="V65"/>
  <c r="V66"/>
  <c r="V67"/>
  <c r="V61"/>
  <c r="V53"/>
  <c r="V54"/>
  <c r="V55"/>
  <c r="V56"/>
  <c r="V57"/>
  <c r="V52"/>
  <c r="W42"/>
  <c r="V43"/>
  <c r="V45"/>
  <c r="V40" s="1"/>
  <c r="V44"/>
  <c r="V42"/>
  <c r="V41"/>
  <c r="W71"/>
  <c r="V46" l="1"/>
  <c r="V25"/>
  <c r="V58"/>
  <c r="S95" l="1"/>
  <c r="S94"/>
  <c r="S93"/>
  <c r="S91"/>
  <c r="S82"/>
  <c r="S83"/>
  <c r="S84"/>
  <c r="S85"/>
  <c r="S86"/>
  <c r="S87"/>
  <c r="S88"/>
  <c r="S89"/>
  <c r="S81"/>
  <c r="S76"/>
  <c r="S77"/>
  <c r="S78"/>
  <c r="S79"/>
  <c r="S75"/>
  <c r="S71"/>
  <c r="S72"/>
  <c r="S73"/>
  <c r="S70"/>
  <c r="S64"/>
  <c r="S65"/>
  <c r="S66"/>
  <c r="S67"/>
  <c r="S68"/>
  <c r="S63"/>
  <c r="S61"/>
  <c r="S60"/>
  <c r="S53"/>
  <c r="S54"/>
  <c r="S55"/>
  <c r="S56"/>
  <c r="S57"/>
  <c r="S52"/>
  <c r="S48"/>
  <c r="S49"/>
  <c r="S47"/>
  <c r="S42"/>
  <c r="S43"/>
  <c r="S44"/>
  <c r="S45"/>
  <c r="S41"/>
  <c r="S39"/>
  <c r="S37"/>
  <c r="S36"/>
  <c r="S28"/>
  <c r="S29"/>
  <c r="S30"/>
  <c r="S31"/>
  <c r="S32"/>
  <c r="S33"/>
  <c r="S34"/>
  <c r="S27"/>
  <c r="S24"/>
  <c r="S23"/>
  <c r="S21"/>
  <c r="S20"/>
  <c r="T95"/>
  <c r="T94"/>
  <c r="T93"/>
  <c r="T91"/>
  <c r="T82"/>
  <c r="T83"/>
  <c r="T84"/>
  <c r="T85"/>
  <c r="T86"/>
  <c r="T87"/>
  <c r="T88"/>
  <c r="T89"/>
  <c r="T81"/>
  <c r="T76"/>
  <c r="T77"/>
  <c r="T78"/>
  <c r="T79"/>
  <c r="T75"/>
  <c r="T71"/>
  <c r="T72"/>
  <c r="T73"/>
  <c r="T70"/>
  <c r="T64"/>
  <c r="T65"/>
  <c r="T66"/>
  <c r="T67"/>
  <c r="T68"/>
  <c r="T63"/>
  <c r="T61"/>
  <c r="T60"/>
  <c r="T53"/>
  <c r="T54"/>
  <c r="T55"/>
  <c r="T56"/>
  <c r="T57"/>
  <c r="T52"/>
  <c r="T48"/>
  <c r="T49"/>
  <c r="T47"/>
  <c r="T42"/>
  <c r="T43"/>
  <c r="T44"/>
  <c r="T45"/>
  <c r="T41"/>
  <c r="T39"/>
  <c r="T37"/>
  <c r="T36"/>
  <c r="T28"/>
  <c r="T29"/>
  <c r="T30"/>
  <c r="T31"/>
  <c r="T32"/>
  <c r="T33"/>
  <c r="T34"/>
  <c r="T27"/>
  <c r="T24"/>
  <c r="T23"/>
  <c r="T21"/>
  <c r="T20"/>
  <c r="E16" i="8" l="1"/>
  <c r="E18"/>
  <c r="E20"/>
  <c r="E22"/>
  <c r="L15" i="9" l="1"/>
  <c r="M15" s="1"/>
  <c r="M14" s="1"/>
  <c r="L49" i="8"/>
  <c r="E12" l="1"/>
  <c r="G13"/>
  <c r="D7"/>
  <c r="G12" l="1"/>
  <c r="G9" i="9"/>
  <c r="H9"/>
  <c r="K9"/>
  <c r="L9"/>
  <c r="M9"/>
  <c r="H10"/>
  <c r="J12"/>
  <c r="K12"/>
  <c r="G8"/>
  <c r="B5"/>
  <c r="L92" l="1"/>
  <c r="J80"/>
  <c r="L80" s="1"/>
  <c r="J82"/>
  <c r="L82" s="1"/>
  <c r="L83"/>
  <c r="J84"/>
  <c r="L84" s="1"/>
  <c r="L85"/>
  <c r="L86"/>
  <c r="L78"/>
  <c r="L73"/>
  <c r="L74"/>
  <c r="L75"/>
  <c r="L76"/>
  <c r="L72"/>
  <c r="L69"/>
  <c r="L68"/>
  <c r="J64"/>
  <c r="L64" s="1"/>
  <c r="L63"/>
  <c r="L56"/>
  <c r="L55"/>
  <c r="L52"/>
  <c r="L49"/>
  <c r="L19"/>
  <c r="L88"/>
  <c r="L79"/>
  <c r="L81"/>
  <c r="I20"/>
  <c r="I21"/>
  <c r="I30"/>
  <c r="I33"/>
  <c r="O10" i="7"/>
  <c r="O11"/>
  <c r="O12"/>
  <c r="O13"/>
  <c r="I19" i="9" s="1"/>
  <c r="O16" i="7"/>
  <c r="I22" i="9" s="1"/>
  <c r="O17" i="7"/>
  <c r="I23" i="9" s="1"/>
  <c r="O18" i="7"/>
  <c r="I24" i="9" s="1"/>
  <c r="O19" i="7"/>
  <c r="I25" i="9" s="1"/>
  <c r="O20" i="7"/>
  <c r="I26" i="9" s="1"/>
  <c r="O21" i="7"/>
  <c r="I27" i="9" s="1"/>
  <c r="O22" i="7"/>
  <c r="I28" i="9" s="1"/>
  <c r="O23" i="7"/>
  <c r="I29" i="9" s="1"/>
  <c r="O25" i="7"/>
  <c r="I31" i="9" s="1"/>
  <c r="O26" i="7"/>
  <c r="I32" i="9" s="1"/>
  <c r="O28" i="7"/>
  <c r="I34" i="9" s="1"/>
  <c r="O29" i="7"/>
  <c r="I35" i="9" s="1"/>
  <c r="O30" i="7"/>
  <c r="I36" i="9" s="1"/>
  <c r="O31" i="7"/>
  <c r="I37" i="9" s="1"/>
  <c r="O32" i="7"/>
  <c r="I38" i="9" s="1"/>
  <c r="O33" i="7"/>
  <c r="I39" i="9" s="1"/>
  <c r="O34" i="7"/>
  <c r="I40" i="9" s="1"/>
  <c r="O35" i="7"/>
  <c r="I41" i="9" s="1"/>
  <c r="O36" i="7"/>
  <c r="I42" i="9" s="1"/>
  <c r="O37" i="7"/>
  <c r="I43" i="9" s="1"/>
  <c r="O38" i="7"/>
  <c r="I44" i="9" s="1"/>
  <c r="O39" i="7"/>
  <c r="O41"/>
  <c r="I47" i="9" s="1"/>
  <c r="O42" i="7"/>
  <c r="I48" i="9" s="1"/>
  <c r="O44" i="7"/>
  <c r="I49" i="9" s="1"/>
  <c r="O45" i="7"/>
  <c r="I50" i="9" s="1"/>
  <c r="O46" i="7"/>
  <c r="I51" i="9" s="1"/>
  <c r="O47" i="7"/>
  <c r="I52" i="9" s="1"/>
  <c r="O48" i="7"/>
  <c r="O50"/>
  <c r="I55" i="9" s="1"/>
  <c r="O51" i="7"/>
  <c r="I56" i="9" s="1"/>
  <c r="O53" i="7"/>
  <c r="I60" i="9" s="1"/>
  <c r="O54" i="7"/>
  <c r="I61" i="9" s="1"/>
  <c r="O55" i="7"/>
  <c r="I62" i="9" s="1"/>
  <c r="O56" i="7"/>
  <c r="I63" i="9" s="1"/>
  <c r="O57" i="7"/>
  <c r="I64" i="9" s="1"/>
  <c r="O58" i="7"/>
  <c r="I65" i="9" s="1"/>
  <c r="O59" i="7"/>
  <c r="O60"/>
  <c r="I67" i="9" s="1"/>
  <c r="O61" i="7"/>
  <c r="I68" i="9" s="1"/>
  <c r="O62" i="7"/>
  <c r="I69" i="9" s="1"/>
  <c r="O63" i="7"/>
  <c r="I70" i="9" s="1"/>
  <c r="O64" i="7"/>
  <c r="O65"/>
  <c r="I72" i="9" s="1"/>
  <c r="O66" i="7"/>
  <c r="I73" i="9" s="1"/>
  <c r="O67" i="7"/>
  <c r="I74" i="9" s="1"/>
  <c r="O68" i="7"/>
  <c r="I75" i="9" s="1"/>
  <c r="O69" i="7"/>
  <c r="I76" i="9" s="1"/>
  <c r="O70" i="7"/>
  <c r="O71"/>
  <c r="I78" i="9" s="1"/>
  <c r="O72" i="7"/>
  <c r="I79" i="9" s="1"/>
  <c r="O73" i="7"/>
  <c r="I80" i="9" s="1"/>
  <c r="O74" i="7"/>
  <c r="I81" i="9" s="1"/>
  <c r="O75" i="7"/>
  <c r="I82" i="9" s="1"/>
  <c r="O76" i="7"/>
  <c r="I83" i="9" s="1"/>
  <c r="O77" i="7"/>
  <c r="I84" i="9" s="1"/>
  <c r="O78" i="7"/>
  <c r="I85" i="9" s="1"/>
  <c r="O79" i="7"/>
  <c r="I86" i="9" s="1"/>
  <c r="O80" i="7"/>
  <c r="O81"/>
  <c r="I88" i="9" s="1"/>
  <c r="O82" i="7"/>
  <c r="O83"/>
  <c r="I90" i="9" s="1"/>
  <c r="O84" i="7"/>
  <c r="I91" i="9" s="1"/>
  <c r="O85" i="7"/>
  <c r="I92" i="9" s="1"/>
  <c r="O9" i="7"/>
  <c r="M79" i="9" l="1"/>
  <c r="M83"/>
  <c r="M84"/>
  <c r="M80"/>
  <c r="M52"/>
  <c r="M81"/>
  <c r="M19"/>
  <c r="M69"/>
  <c r="M74"/>
  <c r="M85"/>
  <c r="M92"/>
  <c r="M88"/>
  <c r="M75"/>
  <c r="M68"/>
  <c r="M64"/>
  <c r="M63"/>
  <c r="M56"/>
  <c r="M55"/>
  <c r="M86"/>
  <c r="M82"/>
  <c r="M78"/>
  <c r="H33" i="8" s="1"/>
  <c r="M73" i="9"/>
  <c r="M76"/>
  <c r="M72"/>
  <c r="M49"/>
  <c r="N14" i="7"/>
  <c r="N16"/>
  <c r="N17"/>
  <c r="N18"/>
  <c r="N19"/>
  <c r="P19" s="1"/>
  <c r="N20"/>
  <c r="P20" s="1"/>
  <c r="N21"/>
  <c r="P21" s="1"/>
  <c r="N22"/>
  <c r="N23"/>
  <c r="N25"/>
  <c r="N26"/>
  <c r="N28"/>
  <c r="P28" s="1"/>
  <c r="P27" s="1"/>
  <c r="N29"/>
  <c r="N30"/>
  <c r="P30" s="1"/>
  <c r="N31"/>
  <c r="N32"/>
  <c r="P32" s="1"/>
  <c r="N33"/>
  <c r="N34"/>
  <c r="N35"/>
  <c r="N36"/>
  <c r="P36" s="1"/>
  <c r="N37"/>
  <c r="N38"/>
  <c r="P38" s="1"/>
  <c r="N39"/>
  <c r="N41"/>
  <c r="P41" s="1"/>
  <c r="N42"/>
  <c r="P42" s="1"/>
  <c r="N44"/>
  <c r="P44" s="1"/>
  <c r="N45"/>
  <c r="L50" i="9" s="1"/>
  <c r="N46" i="7"/>
  <c r="L51" i="9" s="1"/>
  <c r="N47" i="7"/>
  <c r="P47" s="1"/>
  <c r="N48"/>
  <c r="N50"/>
  <c r="N51"/>
  <c r="P51" s="1"/>
  <c r="N53"/>
  <c r="P53" s="1"/>
  <c r="N54"/>
  <c r="N55"/>
  <c r="P55" s="1"/>
  <c r="N56"/>
  <c r="N57"/>
  <c r="N58"/>
  <c r="N59"/>
  <c r="N60"/>
  <c r="P60" s="1"/>
  <c r="N61"/>
  <c r="P61" s="1"/>
  <c r="N62"/>
  <c r="P62" s="1"/>
  <c r="N63"/>
  <c r="P63" s="1"/>
  <c r="N64"/>
  <c r="N65"/>
  <c r="P65" s="1"/>
  <c r="N66"/>
  <c r="N67"/>
  <c r="P67" s="1"/>
  <c r="N68"/>
  <c r="N69"/>
  <c r="P69" s="1"/>
  <c r="N70"/>
  <c r="N71"/>
  <c r="P71" s="1"/>
  <c r="N72"/>
  <c r="P72" s="1"/>
  <c r="N73"/>
  <c r="P73" s="1"/>
  <c r="N74"/>
  <c r="P74" s="1"/>
  <c r="N75"/>
  <c r="P75" s="1"/>
  <c r="N76"/>
  <c r="P76" s="1"/>
  <c r="N77"/>
  <c r="P77" s="1"/>
  <c r="N78"/>
  <c r="P78" s="1"/>
  <c r="N79"/>
  <c r="P79" s="1"/>
  <c r="N80"/>
  <c r="N81"/>
  <c r="N82"/>
  <c r="N83"/>
  <c r="N84"/>
  <c r="P84" s="1"/>
  <c r="N85"/>
  <c r="P85" s="1"/>
  <c r="N9"/>
  <c r="P9" s="1"/>
  <c r="N10"/>
  <c r="P10" s="1"/>
  <c r="N11"/>
  <c r="N12"/>
  <c r="P16"/>
  <c r="P17"/>
  <c r="P26"/>
  <c r="P34"/>
  <c r="P37"/>
  <c r="P83"/>
  <c r="P45" l="1"/>
  <c r="I27" i="8"/>
  <c r="G33"/>
  <c r="M45" i="9"/>
  <c r="E24" i="8" s="1"/>
  <c r="M87" i="9"/>
  <c r="E34" i="8" s="1"/>
  <c r="I35"/>
  <c r="G27"/>
  <c r="M89" i="9"/>
  <c r="E36" i="8" s="1"/>
  <c r="I37"/>
  <c r="M17" i="9"/>
  <c r="G15" i="8"/>
  <c r="P46" i="7"/>
  <c r="P40" s="1"/>
  <c r="P39" s="1"/>
  <c r="M77" i="9"/>
  <c r="E32" i="8" s="1"/>
  <c r="H32" s="1"/>
  <c r="M54" i="9"/>
  <c r="M71"/>
  <c r="M59"/>
  <c r="M66"/>
  <c r="P35" i="7"/>
  <c r="P81"/>
  <c r="P80" s="1"/>
  <c r="P59"/>
  <c r="P57"/>
  <c r="P50"/>
  <c r="P49" s="1"/>
  <c r="P23"/>
  <c r="P22"/>
  <c r="P18"/>
  <c r="P12"/>
  <c r="P8"/>
  <c r="P82"/>
  <c r="P70"/>
  <c r="P25"/>
  <c r="P24" s="1"/>
  <c r="P68"/>
  <c r="P56"/>
  <c r="P66"/>
  <c r="P58"/>
  <c r="P54"/>
  <c r="P33"/>
  <c r="P31"/>
  <c r="N13"/>
  <c r="P13" s="1"/>
  <c r="I34" i="8" l="1"/>
  <c r="I25"/>
  <c r="I24" s="1"/>
  <c r="G32"/>
  <c r="I31"/>
  <c r="E30"/>
  <c r="E28"/>
  <c r="G29"/>
  <c r="E14"/>
  <c r="M13" i="9"/>
  <c r="P15" i="7"/>
  <c r="P14" s="1"/>
  <c r="M53" i="9"/>
  <c r="E26" i="8" s="1"/>
  <c r="P29" i="7"/>
  <c r="P11"/>
  <c r="P64"/>
  <c r="P52"/>
  <c r="P48" s="1"/>
  <c r="H47"/>
  <c r="G28" i="8" l="1"/>
  <c r="I30"/>
  <c r="I26"/>
  <c r="G26"/>
  <c r="G14"/>
  <c r="E10"/>
  <c r="I10" s="1"/>
  <c r="I40" s="1"/>
  <c r="J35" i="7"/>
  <c r="J29"/>
  <c r="J15"/>
  <c r="J24"/>
  <c r="J52"/>
  <c r="J49"/>
  <c r="J40"/>
  <c r="J39" s="1"/>
  <c r="J82"/>
  <c r="J27"/>
  <c r="J11"/>
  <c r="J8"/>
  <c r="J61"/>
  <c r="J60"/>
  <c r="J63"/>
  <c r="L10" i="8" l="1"/>
  <c r="L40" s="1"/>
  <c r="L41" s="1"/>
  <c r="H10"/>
  <c r="H40" s="1"/>
  <c r="G10"/>
  <c r="G40" s="1"/>
  <c r="G45" s="1"/>
  <c r="B40"/>
  <c r="M46" s="1"/>
  <c r="I41" s="1"/>
  <c r="J10"/>
  <c r="J40" s="1"/>
  <c r="K10"/>
  <c r="K40" s="1"/>
  <c r="K42" s="1"/>
  <c r="J14" i="7"/>
  <c r="J59"/>
  <c r="J48"/>
  <c r="L42" i="8" l="1"/>
  <c r="L44" s="1"/>
  <c r="H45"/>
  <c r="I45" s="1"/>
  <c r="M47"/>
  <c r="I42" s="1"/>
  <c r="I44" s="1"/>
  <c r="K45"/>
  <c r="L45" s="1"/>
  <c r="K41"/>
  <c r="K44" s="1"/>
  <c r="H41"/>
  <c r="G41"/>
  <c r="G46" s="1"/>
  <c r="J42"/>
  <c r="J41"/>
  <c r="J80" i="7"/>
  <c r="J70"/>
  <c r="J64"/>
  <c r="G42" i="8" l="1"/>
  <c r="H42"/>
  <c r="H44" s="1"/>
  <c r="H46"/>
  <c r="I46" s="1"/>
  <c r="J44"/>
  <c r="J7" i="7"/>
  <c r="W72" i="6" l="1"/>
  <c r="W73"/>
  <c r="W70"/>
  <c r="W43"/>
  <c r="W44"/>
  <c r="W45"/>
  <c r="W41"/>
  <c r="W42" i="5"/>
  <c r="W44"/>
  <c r="W45"/>
  <c r="BM115" i="6"/>
  <c r="BM114"/>
  <c r="BM113"/>
  <c r="M100"/>
  <c r="AZ95"/>
  <c r="W95"/>
  <c r="X95"/>
  <c r="R95"/>
  <c r="J95"/>
  <c r="A95"/>
  <c r="I95" s="1"/>
  <c r="AZ94"/>
  <c r="W94"/>
  <c r="R94"/>
  <c r="X94" s="1"/>
  <c r="J94"/>
  <c r="A94"/>
  <c r="I94" s="1"/>
  <c r="BD93"/>
  <c r="AZ93"/>
  <c r="AA93"/>
  <c r="W93"/>
  <c r="R93"/>
  <c r="Q93"/>
  <c r="J93"/>
  <c r="B93"/>
  <c r="A93"/>
  <c r="H93" s="1"/>
  <c r="AZ92"/>
  <c r="T92"/>
  <c r="S92"/>
  <c r="R92"/>
  <c r="J92"/>
  <c r="K92" s="1"/>
  <c r="A92" s="1"/>
  <c r="BD91"/>
  <c r="AZ91"/>
  <c r="W91"/>
  <c r="R91"/>
  <c r="J91"/>
  <c r="H91"/>
  <c r="B91"/>
  <c r="A91"/>
  <c r="I91" s="1"/>
  <c r="AZ90"/>
  <c r="W90"/>
  <c r="T90"/>
  <c r="S90"/>
  <c r="R90"/>
  <c r="X90" s="1"/>
  <c r="J90"/>
  <c r="K90" s="1"/>
  <c r="A90" s="1"/>
  <c r="AZ89"/>
  <c r="W89"/>
  <c r="U89"/>
  <c r="R89"/>
  <c r="Q89"/>
  <c r="J89"/>
  <c r="A89"/>
  <c r="I89" s="1"/>
  <c r="AZ88"/>
  <c r="W88"/>
  <c r="R88"/>
  <c r="J88"/>
  <c r="A88"/>
  <c r="I88" s="1"/>
  <c r="BB87"/>
  <c r="AZ87"/>
  <c r="W87"/>
  <c r="U87"/>
  <c r="R87"/>
  <c r="Q87"/>
  <c r="J87"/>
  <c r="A87"/>
  <c r="I87" s="1"/>
  <c r="AZ86"/>
  <c r="W86"/>
  <c r="R86"/>
  <c r="J86"/>
  <c r="A86"/>
  <c r="I86" s="1"/>
  <c r="AZ85"/>
  <c r="W85"/>
  <c r="R85"/>
  <c r="J85"/>
  <c r="A85"/>
  <c r="I85" s="1"/>
  <c r="AZ84"/>
  <c r="W84"/>
  <c r="X84"/>
  <c r="R84"/>
  <c r="J84"/>
  <c r="A84"/>
  <c r="I84" s="1"/>
  <c r="AZ83"/>
  <c r="W83"/>
  <c r="X83"/>
  <c r="R83"/>
  <c r="J83"/>
  <c r="A83"/>
  <c r="I83" s="1"/>
  <c r="AZ82"/>
  <c r="W82"/>
  <c r="R82"/>
  <c r="J82"/>
  <c r="A82"/>
  <c r="BB82" s="1"/>
  <c r="AZ81"/>
  <c r="W81"/>
  <c r="R81"/>
  <c r="J81"/>
  <c r="A81"/>
  <c r="BB81" s="1"/>
  <c r="AZ80"/>
  <c r="T80"/>
  <c r="S80"/>
  <c r="R80"/>
  <c r="J80"/>
  <c r="K80" s="1"/>
  <c r="A80" s="1"/>
  <c r="AZ79"/>
  <c r="W79"/>
  <c r="R79"/>
  <c r="J79"/>
  <c r="A79"/>
  <c r="I79" s="1"/>
  <c r="AZ78"/>
  <c r="W78"/>
  <c r="R78"/>
  <c r="J78"/>
  <c r="A78"/>
  <c r="I78" s="1"/>
  <c r="AZ77"/>
  <c r="W77"/>
  <c r="R77"/>
  <c r="J77"/>
  <c r="B77"/>
  <c r="A77"/>
  <c r="I77" s="1"/>
  <c r="AZ76"/>
  <c r="W76"/>
  <c r="R76"/>
  <c r="J76"/>
  <c r="A76"/>
  <c r="I76" s="1"/>
  <c r="AZ75"/>
  <c r="W75"/>
  <c r="X75" s="1"/>
  <c r="R75"/>
  <c r="J75"/>
  <c r="A75"/>
  <c r="I75" s="1"/>
  <c r="AZ74"/>
  <c r="T74"/>
  <c r="S74"/>
  <c r="J74"/>
  <c r="K74" s="1"/>
  <c r="A74" s="1"/>
  <c r="AZ73"/>
  <c r="U73"/>
  <c r="R73"/>
  <c r="W69" s="1"/>
  <c r="J73"/>
  <c r="A73"/>
  <c r="I73" s="1"/>
  <c r="AZ72"/>
  <c r="X72"/>
  <c r="R72"/>
  <c r="J72"/>
  <c r="A72"/>
  <c r="I72" s="1"/>
  <c r="AZ71"/>
  <c r="X71"/>
  <c r="U71"/>
  <c r="R71"/>
  <c r="J71"/>
  <c r="A71"/>
  <c r="I71" s="1"/>
  <c r="AZ70"/>
  <c r="X70"/>
  <c r="U70"/>
  <c r="R70"/>
  <c r="J70"/>
  <c r="A70"/>
  <c r="I70" s="1"/>
  <c r="AZ69"/>
  <c r="T69"/>
  <c r="S69"/>
  <c r="J69"/>
  <c r="K69" s="1"/>
  <c r="A69" s="1"/>
  <c r="AZ68"/>
  <c r="W68"/>
  <c r="R68"/>
  <c r="J68"/>
  <c r="A68"/>
  <c r="I68" s="1"/>
  <c r="AZ67"/>
  <c r="W67"/>
  <c r="U67"/>
  <c r="R67"/>
  <c r="J67"/>
  <c r="A67"/>
  <c r="I67" s="1"/>
  <c r="AZ66"/>
  <c r="W66"/>
  <c r="R66"/>
  <c r="J66"/>
  <c r="A66"/>
  <c r="I66" s="1"/>
  <c r="AZ65"/>
  <c r="W65"/>
  <c r="U65"/>
  <c r="R65"/>
  <c r="J65"/>
  <c r="A65"/>
  <c r="I65" s="1"/>
  <c r="AZ64"/>
  <c r="W64"/>
  <c r="U64"/>
  <c r="R64"/>
  <c r="J64"/>
  <c r="A64"/>
  <c r="I64" s="1"/>
  <c r="AZ63"/>
  <c r="W63"/>
  <c r="R63"/>
  <c r="J63"/>
  <c r="A63"/>
  <c r="I63" s="1"/>
  <c r="AZ62"/>
  <c r="T62"/>
  <c r="S62"/>
  <c r="J62"/>
  <c r="K62" s="1"/>
  <c r="A62" s="1"/>
  <c r="AZ61"/>
  <c r="W61"/>
  <c r="R61"/>
  <c r="J61"/>
  <c r="A61"/>
  <c r="BB61" s="1"/>
  <c r="AZ60"/>
  <c r="W60"/>
  <c r="R60"/>
  <c r="R59" s="1"/>
  <c r="J60"/>
  <c r="A60"/>
  <c r="BB60" s="1"/>
  <c r="AZ59"/>
  <c r="W59"/>
  <c r="T59"/>
  <c r="S59"/>
  <c r="J59"/>
  <c r="K59" s="1"/>
  <c r="A59" s="1"/>
  <c r="AZ58"/>
  <c r="T58"/>
  <c r="S58"/>
  <c r="J58"/>
  <c r="K58" s="1"/>
  <c r="A58" s="1"/>
  <c r="AZ57"/>
  <c r="W57"/>
  <c r="R57"/>
  <c r="J57"/>
  <c r="A57"/>
  <c r="I57" s="1"/>
  <c r="AZ56"/>
  <c r="W56"/>
  <c r="R56"/>
  <c r="J56"/>
  <c r="A56"/>
  <c r="I56" s="1"/>
  <c r="AZ55"/>
  <c r="W55"/>
  <c r="R55"/>
  <c r="X55" s="1"/>
  <c r="J55"/>
  <c r="H55"/>
  <c r="A55"/>
  <c r="I55" s="1"/>
  <c r="AZ54"/>
  <c r="W54"/>
  <c r="U54"/>
  <c r="R54"/>
  <c r="J54"/>
  <c r="A54"/>
  <c r="I54" s="1"/>
  <c r="AZ53"/>
  <c r="W53"/>
  <c r="U53"/>
  <c r="R53"/>
  <c r="J53"/>
  <c r="A53"/>
  <c r="I53" s="1"/>
  <c r="AZ52"/>
  <c r="W52"/>
  <c r="R52"/>
  <c r="J52"/>
  <c r="A52"/>
  <c r="I52" s="1"/>
  <c r="AZ51"/>
  <c r="T51"/>
  <c r="S51"/>
  <c r="J51"/>
  <c r="K51" s="1"/>
  <c r="A51" s="1"/>
  <c r="G51" s="1"/>
  <c r="G52" s="1"/>
  <c r="G53" s="1"/>
  <c r="G54" s="1"/>
  <c r="G55" s="1"/>
  <c r="G56" s="1"/>
  <c r="AZ50"/>
  <c r="T50"/>
  <c r="S50"/>
  <c r="J50"/>
  <c r="K50" s="1"/>
  <c r="A50" s="1"/>
  <c r="AZ49"/>
  <c r="W49"/>
  <c r="R49"/>
  <c r="J49"/>
  <c r="A49"/>
  <c r="BD49" s="1"/>
  <c r="AZ48"/>
  <c r="W48"/>
  <c r="R48"/>
  <c r="J48"/>
  <c r="A48"/>
  <c r="BD48" s="1"/>
  <c r="AZ47"/>
  <c r="W47"/>
  <c r="R47"/>
  <c r="J47"/>
  <c r="I47"/>
  <c r="A47"/>
  <c r="BD47" s="1"/>
  <c r="AZ46"/>
  <c r="T46"/>
  <c r="S46"/>
  <c r="J46"/>
  <c r="K46" s="1"/>
  <c r="A46" s="1"/>
  <c r="AZ45"/>
  <c r="R45"/>
  <c r="X45" s="1"/>
  <c r="J45"/>
  <c r="A45"/>
  <c r="B45" s="1"/>
  <c r="AZ44"/>
  <c r="R44"/>
  <c r="X44" s="1"/>
  <c r="J44"/>
  <c r="A44"/>
  <c r="Q44" s="1"/>
  <c r="AZ43"/>
  <c r="X43"/>
  <c r="U43"/>
  <c r="R43"/>
  <c r="J43"/>
  <c r="A43"/>
  <c r="Q43" s="1"/>
  <c r="AZ42"/>
  <c r="U42"/>
  <c r="R42"/>
  <c r="J42"/>
  <c r="A42"/>
  <c r="Q42" s="1"/>
  <c r="AZ41"/>
  <c r="U41"/>
  <c r="R41"/>
  <c r="J41"/>
  <c r="A41"/>
  <c r="Q41" s="1"/>
  <c r="AZ40"/>
  <c r="S40"/>
  <c r="U40" s="1"/>
  <c r="J40"/>
  <c r="K40" s="1"/>
  <c r="A40" s="1"/>
  <c r="AZ39"/>
  <c r="W39"/>
  <c r="W38" s="1"/>
  <c r="T38"/>
  <c r="R39"/>
  <c r="R38" s="1"/>
  <c r="J39"/>
  <c r="A39"/>
  <c r="Q39" s="1"/>
  <c r="AZ38"/>
  <c r="S38"/>
  <c r="K38"/>
  <c r="A38" s="1"/>
  <c r="J38"/>
  <c r="AZ37"/>
  <c r="W37"/>
  <c r="T35"/>
  <c r="U35" s="1"/>
  <c r="R37"/>
  <c r="X37" s="1"/>
  <c r="J37"/>
  <c r="A37"/>
  <c r="BB37" s="1"/>
  <c r="AZ36"/>
  <c r="W36"/>
  <c r="W35" s="1"/>
  <c r="U36"/>
  <c r="R36"/>
  <c r="J36"/>
  <c r="A36"/>
  <c r="BB36" s="1"/>
  <c r="AZ35"/>
  <c r="S35"/>
  <c r="J35"/>
  <c r="K35" s="1"/>
  <c r="A35" s="1"/>
  <c r="AZ34"/>
  <c r="W34"/>
  <c r="R34"/>
  <c r="J34"/>
  <c r="A34"/>
  <c r="I34" s="1"/>
  <c r="AZ33"/>
  <c r="W33"/>
  <c r="R33"/>
  <c r="J33"/>
  <c r="A33"/>
  <c r="I33" s="1"/>
  <c r="AZ32"/>
  <c r="W32"/>
  <c r="R32"/>
  <c r="J32"/>
  <c r="A32"/>
  <c r="I32" s="1"/>
  <c r="AZ31"/>
  <c r="W31"/>
  <c r="R31"/>
  <c r="J31"/>
  <c r="A31"/>
  <c r="I31" s="1"/>
  <c r="AZ30"/>
  <c r="W30"/>
  <c r="R30"/>
  <c r="J30"/>
  <c r="A30"/>
  <c r="I30" s="1"/>
  <c r="AZ29"/>
  <c r="W29"/>
  <c r="R29"/>
  <c r="J29"/>
  <c r="A29"/>
  <c r="I29" s="1"/>
  <c r="AZ28"/>
  <c r="W28"/>
  <c r="R28"/>
  <c r="J28"/>
  <c r="A28"/>
  <c r="I28" s="1"/>
  <c r="AZ27"/>
  <c r="W27"/>
  <c r="W26" s="1"/>
  <c r="W25" s="1"/>
  <c r="R27"/>
  <c r="J27"/>
  <c r="A27"/>
  <c r="I27" s="1"/>
  <c r="AZ26"/>
  <c r="S26"/>
  <c r="J26"/>
  <c r="K26" s="1"/>
  <c r="A26" s="1"/>
  <c r="AZ25"/>
  <c r="S25"/>
  <c r="J25"/>
  <c r="K25" s="1"/>
  <c r="A25" s="1"/>
  <c r="BD24"/>
  <c r="AZ24"/>
  <c r="W24"/>
  <c r="W22" s="1"/>
  <c r="R24"/>
  <c r="J24"/>
  <c r="A24"/>
  <c r="Q24" s="1"/>
  <c r="AZ23"/>
  <c r="W23"/>
  <c r="T22"/>
  <c r="R23"/>
  <c r="J23"/>
  <c r="A23"/>
  <c r="Q23" s="1"/>
  <c r="AZ22"/>
  <c r="S22"/>
  <c r="J22"/>
  <c r="K22" s="1"/>
  <c r="A22" s="1"/>
  <c r="AZ21"/>
  <c r="W21"/>
  <c r="R21"/>
  <c r="J21"/>
  <c r="A21"/>
  <c r="BB21" s="1"/>
  <c r="AZ20"/>
  <c r="W20"/>
  <c r="W19" s="1"/>
  <c r="U20"/>
  <c r="R20"/>
  <c r="J20"/>
  <c r="A20"/>
  <c r="BB20" s="1"/>
  <c r="BB18" s="1"/>
  <c r="AY18" s="1"/>
  <c r="AZ19"/>
  <c r="J19"/>
  <c r="A19"/>
  <c r="BM18"/>
  <c r="BL18"/>
  <c r="AO18"/>
  <c r="AC18"/>
  <c r="BN17"/>
  <c r="BK17"/>
  <c r="BH17"/>
  <c r="AA17"/>
  <c r="AB17" s="1"/>
  <c r="AY16"/>
  <c r="S16"/>
  <c r="I15"/>
  <c r="BD14"/>
  <c r="J49" i="8" l="1"/>
  <c r="K46"/>
  <c r="H44" i="6"/>
  <c r="U51"/>
  <c r="U63"/>
  <c r="BB67"/>
  <c r="U72"/>
  <c r="B76"/>
  <c r="U79"/>
  <c r="X81"/>
  <c r="X82"/>
  <c r="Q85"/>
  <c r="U86"/>
  <c r="BB86"/>
  <c r="BD23"/>
  <c r="R26"/>
  <c r="X26" s="1"/>
  <c r="W46"/>
  <c r="U58"/>
  <c r="Q67"/>
  <c r="U69"/>
  <c r="R69"/>
  <c r="X69" s="1"/>
  <c r="X76"/>
  <c r="U83"/>
  <c r="BB89"/>
  <c r="U91"/>
  <c r="H23"/>
  <c r="H24"/>
  <c r="BB24"/>
  <c r="BD27"/>
  <c r="BD28"/>
  <c r="BD29"/>
  <c r="BD30"/>
  <c r="BD31"/>
  <c r="BD32"/>
  <c r="BD33"/>
  <c r="BD34"/>
  <c r="B44"/>
  <c r="U44"/>
  <c r="U52"/>
  <c r="X56"/>
  <c r="U57"/>
  <c r="X63"/>
  <c r="H67"/>
  <c r="X68"/>
  <c r="B75"/>
  <c r="X77"/>
  <c r="U85"/>
  <c r="BB85"/>
  <c r="U88"/>
  <c r="BB88"/>
  <c r="BD42"/>
  <c r="R74"/>
  <c r="Q79"/>
  <c r="Q20"/>
  <c r="T19"/>
  <c r="R22"/>
  <c r="X36"/>
  <c r="U37"/>
  <c r="B42"/>
  <c r="BD51"/>
  <c r="BD52"/>
  <c r="BD53"/>
  <c r="B56"/>
  <c r="U56"/>
  <c r="U62"/>
  <c r="H65"/>
  <c r="H66"/>
  <c r="U66"/>
  <c r="Q68"/>
  <c r="U77"/>
  <c r="U78"/>
  <c r="X79"/>
  <c r="U81"/>
  <c r="X85"/>
  <c r="X87"/>
  <c r="X89"/>
  <c r="U92"/>
  <c r="Q21"/>
  <c r="BB39"/>
  <c r="H42"/>
  <c r="BD45"/>
  <c r="BR45" s="1"/>
  <c r="H56"/>
  <c r="X59"/>
  <c r="Q63"/>
  <c r="BB66"/>
  <c r="X21"/>
  <c r="B23"/>
  <c r="U23"/>
  <c r="BB23"/>
  <c r="X24"/>
  <c r="U28"/>
  <c r="U29"/>
  <c r="U30"/>
  <c r="U31"/>
  <c r="U32"/>
  <c r="U33"/>
  <c r="U34"/>
  <c r="X39"/>
  <c r="BD44"/>
  <c r="U45"/>
  <c r="I49"/>
  <c r="U50"/>
  <c r="X54"/>
  <c r="B55"/>
  <c r="BB55"/>
  <c r="W51"/>
  <c r="W50" s="1"/>
  <c r="X57"/>
  <c r="U60"/>
  <c r="U61"/>
  <c r="W62"/>
  <c r="X64"/>
  <c r="X65"/>
  <c r="Q66"/>
  <c r="H68"/>
  <c r="U68"/>
  <c r="BB68"/>
  <c r="U74"/>
  <c r="X78"/>
  <c r="U80"/>
  <c r="U84"/>
  <c r="Q86"/>
  <c r="X86"/>
  <c r="Q88"/>
  <c r="X88"/>
  <c r="U90"/>
  <c r="BB19"/>
  <c r="G19"/>
  <c r="G20" s="1"/>
  <c r="G21" s="1"/>
  <c r="C19"/>
  <c r="C20" s="1"/>
  <c r="C21" s="1"/>
  <c r="C22" s="1"/>
  <c r="C23" s="1"/>
  <c r="R19"/>
  <c r="Q19" s="1"/>
  <c r="U21"/>
  <c r="U27"/>
  <c r="T26"/>
  <c r="T25" s="1"/>
  <c r="U25" s="1"/>
  <c r="P7" i="7"/>
  <c r="Q27" i="6"/>
  <c r="Q29"/>
  <c r="Q30"/>
  <c r="X22"/>
  <c r="B27"/>
  <c r="X27"/>
  <c r="BR27" s="1"/>
  <c r="BN27" s="1"/>
  <c r="B28"/>
  <c r="X28"/>
  <c r="B29"/>
  <c r="X29"/>
  <c r="B30"/>
  <c r="X30"/>
  <c r="B31"/>
  <c r="X31"/>
  <c r="BR31" s="1"/>
  <c r="BK31" s="1"/>
  <c r="B32"/>
  <c r="X32"/>
  <c r="B33"/>
  <c r="X33"/>
  <c r="B34"/>
  <c r="X34"/>
  <c r="R35"/>
  <c r="X35" s="1"/>
  <c r="Q36"/>
  <c r="B39"/>
  <c r="U39"/>
  <c r="B41"/>
  <c r="BD41"/>
  <c r="B43"/>
  <c r="BD43"/>
  <c r="R46"/>
  <c r="X46" s="1"/>
  <c r="X47"/>
  <c r="B52"/>
  <c r="X52"/>
  <c r="B53"/>
  <c r="X53"/>
  <c r="B54"/>
  <c r="BD54"/>
  <c r="U55"/>
  <c r="BD55"/>
  <c r="BC55" s="1"/>
  <c r="BB56"/>
  <c r="H57"/>
  <c r="BD57"/>
  <c r="BR57" s="1"/>
  <c r="BK57" s="1"/>
  <c r="U59"/>
  <c r="H63"/>
  <c r="BB64"/>
  <c r="Q65"/>
  <c r="X66"/>
  <c r="X67"/>
  <c r="H70"/>
  <c r="BB70"/>
  <c r="H71"/>
  <c r="BB71"/>
  <c r="H72"/>
  <c r="B73"/>
  <c r="BB73"/>
  <c r="Q75"/>
  <c r="BD75"/>
  <c r="Q76"/>
  <c r="BD76"/>
  <c r="BR76" s="1"/>
  <c r="Q77"/>
  <c r="B79"/>
  <c r="B81"/>
  <c r="H82"/>
  <c r="U82"/>
  <c r="H83"/>
  <c r="B84"/>
  <c r="Q91"/>
  <c r="BB91"/>
  <c r="BC91" s="1"/>
  <c r="U95"/>
  <c r="Q32"/>
  <c r="U22"/>
  <c r="X23"/>
  <c r="B24"/>
  <c r="U24"/>
  <c r="H27"/>
  <c r="BB27"/>
  <c r="BC27" s="1"/>
  <c r="H28"/>
  <c r="BB28"/>
  <c r="BC28" s="1"/>
  <c r="H29"/>
  <c r="BB29"/>
  <c r="H30"/>
  <c r="BB30"/>
  <c r="H31"/>
  <c r="BB31"/>
  <c r="BC31" s="1"/>
  <c r="H32"/>
  <c r="BB32"/>
  <c r="H33"/>
  <c r="BB33"/>
  <c r="H34"/>
  <c r="BB34"/>
  <c r="Q37"/>
  <c r="H39"/>
  <c r="H41"/>
  <c r="BB42"/>
  <c r="H43"/>
  <c r="BB44"/>
  <c r="H52"/>
  <c r="BB52"/>
  <c r="H53"/>
  <c r="BB53"/>
  <c r="H54"/>
  <c r="Q55"/>
  <c r="Q56"/>
  <c r="BD56"/>
  <c r="BC56" s="1"/>
  <c r="X60"/>
  <c r="X61"/>
  <c r="R62"/>
  <c r="X62" s="1"/>
  <c r="BB63"/>
  <c r="Q64"/>
  <c r="BD70"/>
  <c r="BC70" s="1"/>
  <c r="BD71"/>
  <c r="BR71" s="1"/>
  <c r="BK71" s="1"/>
  <c r="BB72"/>
  <c r="H73"/>
  <c r="BD73"/>
  <c r="BD77"/>
  <c r="BR77" s="1"/>
  <c r="Q78"/>
  <c r="W80"/>
  <c r="X80" s="1"/>
  <c r="BD81"/>
  <c r="BR81" s="1"/>
  <c r="BK81" s="1"/>
  <c r="BD82"/>
  <c r="BC82" s="1"/>
  <c r="H84"/>
  <c r="H85"/>
  <c r="H86"/>
  <c r="H87"/>
  <c r="H88"/>
  <c r="H89"/>
  <c r="X91"/>
  <c r="BR91" s="1"/>
  <c r="BN91" s="1"/>
  <c r="U94"/>
  <c r="X38"/>
  <c r="Q57"/>
  <c r="W58"/>
  <c r="Q70"/>
  <c r="Q71"/>
  <c r="Q72"/>
  <c r="BD72"/>
  <c r="BR72" s="1"/>
  <c r="BK72" s="1"/>
  <c r="BD78"/>
  <c r="BR78" s="1"/>
  <c r="BN78" s="1"/>
  <c r="Q83"/>
  <c r="BB83"/>
  <c r="Q28"/>
  <c r="Q31"/>
  <c r="Q33"/>
  <c r="Q34"/>
  <c r="U38"/>
  <c r="BD39"/>
  <c r="BR39" s="1"/>
  <c r="BN39" s="1"/>
  <c r="BB41"/>
  <c r="X42"/>
  <c r="BB43"/>
  <c r="BC43" s="1"/>
  <c r="X48"/>
  <c r="BR48" s="1"/>
  <c r="BK48" s="1"/>
  <c r="X49"/>
  <c r="BR49" s="1"/>
  <c r="BN49" s="1"/>
  <c r="G57"/>
  <c r="R51"/>
  <c r="Q52"/>
  <c r="Q53"/>
  <c r="Q54"/>
  <c r="BB54"/>
  <c r="B57"/>
  <c r="BB57"/>
  <c r="H64"/>
  <c r="BB65"/>
  <c r="B70"/>
  <c r="B71"/>
  <c r="B72"/>
  <c r="Q73"/>
  <c r="W74"/>
  <c r="X74" s="1"/>
  <c r="U75"/>
  <c r="U76"/>
  <c r="B78"/>
  <c r="BD79"/>
  <c r="BR79" s="1"/>
  <c r="B82"/>
  <c r="B83"/>
  <c r="Q84"/>
  <c r="BB84"/>
  <c r="X93"/>
  <c r="W92"/>
  <c r="X92" s="1"/>
  <c r="BR43"/>
  <c r="BK43" s="1"/>
  <c r="BR24"/>
  <c r="BN24" s="1"/>
  <c r="BC32"/>
  <c r="BR70"/>
  <c r="BN70" s="1"/>
  <c r="BR75"/>
  <c r="BK75" s="1"/>
  <c r="BR44"/>
  <c r="BN44" s="1"/>
  <c r="BR28"/>
  <c r="BN28" s="1"/>
  <c r="BR32"/>
  <c r="BN32" s="1"/>
  <c r="BC24"/>
  <c r="BR93"/>
  <c r="BN93" s="1"/>
  <c r="V19"/>
  <c r="X20"/>
  <c r="Q35"/>
  <c r="BB35"/>
  <c r="E35"/>
  <c r="E36" s="1"/>
  <c r="E37" s="1"/>
  <c r="F35"/>
  <c r="F36" s="1"/>
  <c r="F37" s="1"/>
  <c r="BD35"/>
  <c r="G35"/>
  <c r="G36" s="1"/>
  <c r="G37" s="1"/>
  <c r="X41"/>
  <c r="W40"/>
  <c r="BD22"/>
  <c r="BR22" s="1"/>
  <c r="Q22"/>
  <c r="D22"/>
  <c r="D23" s="1"/>
  <c r="D24" s="1"/>
  <c r="BB22"/>
  <c r="E22"/>
  <c r="E23" s="1"/>
  <c r="E24" s="1"/>
  <c r="F22"/>
  <c r="F23" s="1"/>
  <c r="F24" s="1"/>
  <c r="G22"/>
  <c r="G23" s="1"/>
  <c r="G24" s="1"/>
  <c r="F50"/>
  <c r="BD50"/>
  <c r="G50"/>
  <c r="D50"/>
  <c r="D51" s="1"/>
  <c r="D52" s="1"/>
  <c r="D53" s="1"/>
  <c r="D54" s="1"/>
  <c r="D55" s="1"/>
  <c r="D56" s="1"/>
  <c r="D57" s="1"/>
  <c r="BB50"/>
  <c r="E50"/>
  <c r="W18"/>
  <c r="BR47"/>
  <c r="BB26"/>
  <c r="E26"/>
  <c r="E27" s="1"/>
  <c r="E28" s="1"/>
  <c r="E29" s="1"/>
  <c r="E30" s="1"/>
  <c r="E31" s="1"/>
  <c r="E32" s="1"/>
  <c r="E33" s="1"/>
  <c r="E34" s="1"/>
  <c r="F26"/>
  <c r="F27" s="1"/>
  <c r="F28" s="1"/>
  <c r="F29" s="1"/>
  <c r="F30" s="1"/>
  <c r="F31" s="1"/>
  <c r="F32" s="1"/>
  <c r="F33" s="1"/>
  <c r="F34" s="1"/>
  <c r="G26"/>
  <c r="G27" s="1"/>
  <c r="G28" s="1"/>
  <c r="G29" s="1"/>
  <c r="G30" s="1"/>
  <c r="G31" s="1"/>
  <c r="G32" s="1"/>
  <c r="G33" s="1"/>
  <c r="G34" s="1"/>
  <c r="BD26"/>
  <c r="Q26"/>
  <c r="BD38"/>
  <c r="G38"/>
  <c r="G39" s="1"/>
  <c r="Q38"/>
  <c r="D38"/>
  <c r="D39" s="1"/>
  <c r="BB38"/>
  <c r="E38"/>
  <c r="E39" s="1"/>
  <c r="F38"/>
  <c r="F39" s="1"/>
  <c r="BN43"/>
  <c r="Q46"/>
  <c r="D46"/>
  <c r="D47" s="1"/>
  <c r="D48" s="1"/>
  <c r="D49" s="1"/>
  <c r="E46"/>
  <c r="E47" s="1"/>
  <c r="E48" s="1"/>
  <c r="E49" s="1"/>
  <c r="BB46"/>
  <c r="F46"/>
  <c r="F47" s="1"/>
  <c r="F48" s="1"/>
  <c r="F49" s="1"/>
  <c r="G46"/>
  <c r="G47" s="1"/>
  <c r="G48" s="1"/>
  <c r="G49" s="1"/>
  <c r="BD46"/>
  <c r="F25"/>
  <c r="BD25"/>
  <c r="G25"/>
  <c r="D25"/>
  <c r="D26" s="1"/>
  <c r="BB25"/>
  <c r="E25"/>
  <c r="BD40"/>
  <c r="F40"/>
  <c r="F41" s="1"/>
  <c r="F42" s="1"/>
  <c r="F43" s="1"/>
  <c r="F44" s="1"/>
  <c r="F45" s="1"/>
  <c r="G40"/>
  <c r="G41" s="1"/>
  <c r="G42" s="1"/>
  <c r="G43" s="1"/>
  <c r="G44" s="1"/>
  <c r="G45" s="1"/>
  <c r="BB40"/>
  <c r="D40"/>
  <c r="D41" s="1"/>
  <c r="D42" s="1"/>
  <c r="D43" s="1"/>
  <c r="D44" s="1"/>
  <c r="D45" s="1"/>
  <c r="E40"/>
  <c r="E41" s="1"/>
  <c r="E42" s="1"/>
  <c r="E43" s="1"/>
  <c r="E44" s="1"/>
  <c r="E45" s="1"/>
  <c r="BB45"/>
  <c r="H45"/>
  <c r="F19"/>
  <c r="F20" s="1"/>
  <c r="F21" s="1"/>
  <c r="BD19"/>
  <c r="B20"/>
  <c r="BD20"/>
  <c r="B21"/>
  <c r="BD21"/>
  <c r="BC21" s="1"/>
  <c r="I23"/>
  <c r="I24"/>
  <c r="R25"/>
  <c r="X25" s="1"/>
  <c r="U26"/>
  <c r="B36"/>
  <c r="BD36"/>
  <c r="BC36" s="1"/>
  <c r="B37"/>
  <c r="BD37"/>
  <c r="BC37" s="1"/>
  <c r="I39"/>
  <c r="R40"/>
  <c r="X40" s="1"/>
  <c r="I41"/>
  <c r="I42"/>
  <c r="I43"/>
  <c r="I44"/>
  <c r="Q45"/>
  <c r="U46"/>
  <c r="BB47"/>
  <c r="BC47" s="1"/>
  <c r="B48"/>
  <c r="H48"/>
  <c r="U48"/>
  <c r="BB49"/>
  <c r="BC49" s="1"/>
  <c r="Q48"/>
  <c r="Q62"/>
  <c r="BB62"/>
  <c r="E62"/>
  <c r="E63" s="1"/>
  <c r="E64" s="1"/>
  <c r="E65" s="1"/>
  <c r="E66" s="1"/>
  <c r="E67" s="1"/>
  <c r="E68" s="1"/>
  <c r="F62"/>
  <c r="F63" s="1"/>
  <c r="F64" s="1"/>
  <c r="F65" s="1"/>
  <c r="F66" s="1"/>
  <c r="F67" s="1"/>
  <c r="F68" s="1"/>
  <c r="BD62"/>
  <c r="BR62" s="1"/>
  <c r="G62"/>
  <c r="G63" s="1"/>
  <c r="G64" s="1"/>
  <c r="G65" s="1"/>
  <c r="G66" s="1"/>
  <c r="G67" s="1"/>
  <c r="G68" s="1"/>
  <c r="BD69"/>
  <c r="G69"/>
  <c r="G70" s="1"/>
  <c r="G71" s="1"/>
  <c r="G72" s="1"/>
  <c r="G73" s="1"/>
  <c r="Q69"/>
  <c r="D69"/>
  <c r="D70" s="1"/>
  <c r="D71" s="1"/>
  <c r="D72" s="1"/>
  <c r="D73" s="1"/>
  <c r="BB69"/>
  <c r="E69"/>
  <c r="E70" s="1"/>
  <c r="E71" s="1"/>
  <c r="E72" s="1"/>
  <c r="E73" s="1"/>
  <c r="F69"/>
  <c r="F70" s="1"/>
  <c r="F71" s="1"/>
  <c r="F72" s="1"/>
  <c r="F73" s="1"/>
  <c r="F74"/>
  <c r="F75" s="1"/>
  <c r="F76" s="1"/>
  <c r="F77" s="1"/>
  <c r="F78" s="1"/>
  <c r="F79" s="1"/>
  <c r="BD74"/>
  <c r="G74"/>
  <c r="G75" s="1"/>
  <c r="G76" s="1"/>
  <c r="G77" s="1"/>
  <c r="G78" s="1"/>
  <c r="G79" s="1"/>
  <c r="Q74"/>
  <c r="D74"/>
  <c r="D75" s="1"/>
  <c r="D76" s="1"/>
  <c r="D77" s="1"/>
  <c r="D78" s="1"/>
  <c r="D79" s="1"/>
  <c r="BB74"/>
  <c r="E74"/>
  <c r="E75" s="1"/>
  <c r="E76" s="1"/>
  <c r="E77" s="1"/>
  <c r="E78" s="1"/>
  <c r="E79" s="1"/>
  <c r="BD92"/>
  <c r="G92"/>
  <c r="G93" s="1"/>
  <c r="G94" s="1"/>
  <c r="G95" s="1"/>
  <c r="Q92"/>
  <c r="D92"/>
  <c r="D93" s="1"/>
  <c r="D94" s="1"/>
  <c r="D95" s="1"/>
  <c r="BB92"/>
  <c r="E92"/>
  <c r="E93" s="1"/>
  <c r="E94" s="1"/>
  <c r="E95" s="1"/>
  <c r="F92"/>
  <c r="F93" s="1"/>
  <c r="F94" s="1"/>
  <c r="F95" s="1"/>
  <c r="I36"/>
  <c r="I37"/>
  <c r="BB51"/>
  <c r="E51"/>
  <c r="E52" s="1"/>
  <c r="E53" s="1"/>
  <c r="E54" s="1"/>
  <c r="E55" s="1"/>
  <c r="E56" s="1"/>
  <c r="E57" s="1"/>
  <c r="F51"/>
  <c r="F52" s="1"/>
  <c r="F53" s="1"/>
  <c r="F54" s="1"/>
  <c r="F55" s="1"/>
  <c r="F56" s="1"/>
  <c r="F57" s="1"/>
  <c r="E19"/>
  <c r="E20" s="1"/>
  <c r="E21" s="1"/>
  <c r="I20"/>
  <c r="I21"/>
  <c r="AC17"/>
  <c r="AD17" s="1"/>
  <c r="AE17" s="1"/>
  <c r="AF17" s="1"/>
  <c r="AG17" s="1"/>
  <c r="AH17" s="1"/>
  <c r="AI17" s="1"/>
  <c r="AJ17" s="1"/>
  <c r="AK17" s="1"/>
  <c r="AL17" s="1"/>
  <c r="AM17" s="1"/>
  <c r="AN17" s="1"/>
  <c r="AO17" s="1"/>
  <c r="AP17" s="1"/>
  <c r="AQ17" s="1"/>
  <c r="AR17" s="1"/>
  <c r="AS17" s="1"/>
  <c r="AT17" s="1"/>
  <c r="AU17" s="1"/>
  <c r="AV17" s="1"/>
  <c r="AW17" s="1"/>
  <c r="D19"/>
  <c r="D20" s="1"/>
  <c r="D21" s="1"/>
  <c r="H20"/>
  <c r="H21"/>
  <c r="H36"/>
  <c r="H37"/>
  <c r="I45"/>
  <c r="B47"/>
  <c r="H47"/>
  <c r="U47"/>
  <c r="BB48"/>
  <c r="BC48" s="1"/>
  <c r="B49"/>
  <c r="H49"/>
  <c r="U49"/>
  <c r="BR54"/>
  <c r="X73"/>
  <c r="Q47"/>
  <c r="Q49"/>
  <c r="F58"/>
  <c r="BD58"/>
  <c r="G58"/>
  <c r="D58"/>
  <c r="BB58"/>
  <c r="E58"/>
  <c r="BB59"/>
  <c r="E59"/>
  <c r="E60" s="1"/>
  <c r="E61" s="1"/>
  <c r="F59"/>
  <c r="F60" s="1"/>
  <c r="F61" s="1"/>
  <c r="BD59"/>
  <c r="BR59" s="1"/>
  <c r="G59"/>
  <c r="G60" s="1"/>
  <c r="G61" s="1"/>
  <c r="Q59"/>
  <c r="BB80"/>
  <c r="E80"/>
  <c r="E81" s="1"/>
  <c r="E82" s="1"/>
  <c r="E83" s="1"/>
  <c r="E84" s="1"/>
  <c r="E85" s="1"/>
  <c r="E86" s="1"/>
  <c r="E87" s="1"/>
  <c r="E88" s="1"/>
  <c r="E89" s="1"/>
  <c r="F80"/>
  <c r="F81" s="1"/>
  <c r="F82" s="1"/>
  <c r="F83" s="1"/>
  <c r="F84" s="1"/>
  <c r="F85" s="1"/>
  <c r="F86" s="1"/>
  <c r="F87" s="1"/>
  <c r="F88" s="1"/>
  <c r="F89" s="1"/>
  <c r="BD80"/>
  <c r="G80"/>
  <c r="G81" s="1"/>
  <c r="G82" s="1"/>
  <c r="G83" s="1"/>
  <c r="G84" s="1"/>
  <c r="G85" s="1"/>
  <c r="G86" s="1"/>
  <c r="G87" s="1"/>
  <c r="G88" s="1"/>
  <c r="G89" s="1"/>
  <c r="Q80"/>
  <c r="D80"/>
  <c r="D81" s="1"/>
  <c r="D82" s="1"/>
  <c r="D83" s="1"/>
  <c r="D84" s="1"/>
  <c r="D85" s="1"/>
  <c r="D86" s="1"/>
  <c r="D87" s="1"/>
  <c r="D88" s="1"/>
  <c r="D89" s="1"/>
  <c r="Q90"/>
  <c r="D90"/>
  <c r="D91" s="1"/>
  <c r="BB90"/>
  <c r="E90"/>
  <c r="E91" s="1"/>
  <c r="F90"/>
  <c r="F91" s="1"/>
  <c r="BD90"/>
  <c r="G90"/>
  <c r="G91" s="1"/>
  <c r="I48"/>
  <c r="BC81"/>
  <c r="R58"/>
  <c r="X58" s="1"/>
  <c r="Q60"/>
  <c r="Q61"/>
  <c r="B63"/>
  <c r="BD63"/>
  <c r="B64"/>
  <c r="BD64"/>
  <c r="BC64" s="1"/>
  <c r="B65"/>
  <c r="BD65"/>
  <c r="BC65" s="1"/>
  <c r="B66"/>
  <c r="BD66"/>
  <c r="B67"/>
  <c r="BD67"/>
  <c r="BC67" s="1"/>
  <c r="B68"/>
  <c r="BD68"/>
  <c r="H75"/>
  <c r="BB75"/>
  <c r="BC75" s="1"/>
  <c r="H76"/>
  <c r="BB76"/>
  <c r="H77"/>
  <c r="BB77"/>
  <c r="H78"/>
  <c r="BB78"/>
  <c r="H79"/>
  <c r="BB79"/>
  <c r="Q81"/>
  <c r="Q82"/>
  <c r="I93"/>
  <c r="U93"/>
  <c r="BB93"/>
  <c r="BC93" s="1"/>
  <c r="H94"/>
  <c r="BB94"/>
  <c r="H95"/>
  <c r="BB95"/>
  <c r="B60"/>
  <c r="BD60"/>
  <c r="BC60" s="1"/>
  <c r="B61"/>
  <c r="BD61"/>
  <c r="BC61" s="1"/>
  <c r="BD83"/>
  <c r="BC83" s="1"/>
  <c r="BD84"/>
  <c r="B85"/>
  <c r="BD85"/>
  <c r="B86"/>
  <c r="BD86"/>
  <c r="BC86" s="1"/>
  <c r="B87"/>
  <c r="BD87"/>
  <c r="BC87" s="1"/>
  <c r="B88"/>
  <c r="BD88"/>
  <c r="BC88" s="1"/>
  <c r="B89"/>
  <c r="BD89"/>
  <c r="Q94"/>
  <c r="Q95"/>
  <c r="I60"/>
  <c r="I61"/>
  <c r="I81"/>
  <c r="I82"/>
  <c r="B94"/>
  <c r="BD94"/>
  <c r="B95"/>
  <c r="BD95"/>
  <c r="H60"/>
  <c r="H61"/>
  <c r="H81"/>
  <c r="M100" i="5"/>
  <c r="BM115"/>
  <c r="BM114"/>
  <c r="BM113"/>
  <c r="BC42" i="6" l="1"/>
  <c r="BC34"/>
  <c r="BR30"/>
  <c r="BN30" s="1"/>
  <c r="BR23"/>
  <c r="BK23" s="1"/>
  <c r="BR33"/>
  <c r="BN33" s="1"/>
  <c r="BR29"/>
  <c r="BK29" s="1"/>
  <c r="BR34"/>
  <c r="BN34" s="1"/>
  <c r="BC30"/>
  <c r="BC68"/>
  <c r="BN75"/>
  <c r="BR42"/>
  <c r="BK42" s="1"/>
  <c r="BC89"/>
  <c r="BC85"/>
  <c r="BR73"/>
  <c r="BK73" s="1"/>
  <c r="BK24"/>
  <c r="BC39"/>
  <c r="BC44"/>
  <c r="BC33"/>
  <c r="BC29"/>
  <c r="BC23"/>
  <c r="BC72"/>
  <c r="BC71"/>
  <c r="BC53"/>
  <c r="BC73"/>
  <c r="BC52"/>
  <c r="BR56"/>
  <c r="BC41"/>
  <c r="BK33"/>
  <c r="BH33" s="1"/>
  <c r="BR53"/>
  <c r="BN53" s="1"/>
  <c r="BC63"/>
  <c r="BC78"/>
  <c r="BC76"/>
  <c r="BC66"/>
  <c r="BR52"/>
  <c r="BK52" s="1"/>
  <c r="BF52" s="1"/>
  <c r="BN77"/>
  <c r="BK77"/>
  <c r="BK76"/>
  <c r="BF76" s="1"/>
  <c r="BN76"/>
  <c r="BN45"/>
  <c r="BK45"/>
  <c r="BK79"/>
  <c r="BH79" s="1"/>
  <c r="BN79"/>
  <c r="BC79"/>
  <c r="BC77"/>
  <c r="BK91"/>
  <c r="BI91" s="1"/>
  <c r="BR41"/>
  <c r="BK41" s="1"/>
  <c r="BR82"/>
  <c r="BN82" s="1"/>
  <c r="BC84"/>
  <c r="BN71"/>
  <c r="BC45"/>
  <c r="BK32"/>
  <c r="BR55"/>
  <c r="BK55" s="1"/>
  <c r="BC51"/>
  <c r="BC19"/>
  <c r="BC54"/>
  <c r="X51"/>
  <c r="BR51" s="1"/>
  <c r="BK51" s="1"/>
  <c r="Q51"/>
  <c r="R50"/>
  <c r="BC57"/>
  <c r="BK70"/>
  <c r="BI70" s="1"/>
  <c r="BN81"/>
  <c r="BN55"/>
  <c r="BK93"/>
  <c r="BH93" s="1"/>
  <c r="BK78"/>
  <c r="BF78" s="1"/>
  <c r="BK28"/>
  <c r="BI28" s="1"/>
  <c r="BN57"/>
  <c r="BN29"/>
  <c r="BK39"/>
  <c r="BF39" s="1"/>
  <c r="BN72"/>
  <c r="BN31"/>
  <c r="BN23"/>
  <c r="BC26"/>
  <c r="BK27"/>
  <c r="BH27" s="1"/>
  <c r="BK49"/>
  <c r="BH49" s="1"/>
  <c r="BK82"/>
  <c r="BF82" s="1"/>
  <c r="BK44"/>
  <c r="BI44" s="1"/>
  <c r="BC95"/>
  <c r="I19"/>
  <c r="BK34"/>
  <c r="BF34" s="1"/>
  <c r="BK30"/>
  <c r="BF30" s="1"/>
  <c r="BN48"/>
  <c r="BC35"/>
  <c r="BC40"/>
  <c r="BR58"/>
  <c r="BK58" s="1"/>
  <c r="BR40"/>
  <c r="BK40" s="1"/>
  <c r="BR35"/>
  <c r="BK35" s="1"/>
  <c r="BC90"/>
  <c r="BC58"/>
  <c r="BC80"/>
  <c r="BR25"/>
  <c r="BN25" s="1"/>
  <c r="BR80"/>
  <c r="BN80" s="1"/>
  <c r="BC69"/>
  <c r="BC46"/>
  <c r="D27"/>
  <c r="BF79"/>
  <c r="BN54"/>
  <c r="BK54"/>
  <c r="BF93"/>
  <c r="BC20"/>
  <c r="BD18"/>
  <c r="BH31"/>
  <c r="BI31"/>
  <c r="BF31"/>
  <c r="BH29"/>
  <c r="BI29"/>
  <c r="BF29"/>
  <c r="BF23"/>
  <c r="BH23"/>
  <c r="BI23"/>
  <c r="X19"/>
  <c r="BR19" s="1"/>
  <c r="BC94"/>
  <c r="BC62"/>
  <c r="BR94"/>
  <c r="BR87"/>
  <c r="BR65"/>
  <c r="Q40"/>
  <c r="BR36"/>
  <c r="BC38"/>
  <c r="BR46"/>
  <c r="BC22"/>
  <c r="BH91"/>
  <c r="BK59"/>
  <c r="BN59"/>
  <c r="BI76"/>
  <c r="BH81"/>
  <c r="BI81"/>
  <c r="BF81"/>
  <c r="BF48"/>
  <c r="BH48"/>
  <c r="BI48"/>
  <c r="BF43"/>
  <c r="BH43"/>
  <c r="BI43"/>
  <c r="BN47"/>
  <c r="BK47"/>
  <c r="BR83"/>
  <c r="BR66"/>
  <c r="BC92"/>
  <c r="BR88"/>
  <c r="BR84"/>
  <c r="BR69"/>
  <c r="BR60"/>
  <c r="BR26"/>
  <c r="BC50"/>
  <c r="BR20"/>
  <c r="BF55"/>
  <c r="BH55"/>
  <c r="BI55"/>
  <c r="BF71"/>
  <c r="BH71"/>
  <c r="BI71"/>
  <c r="BF72"/>
  <c r="BH72"/>
  <c r="BI72"/>
  <c r="BF57"/>
  <c r="BH57"/>
  <c r="BI57"/>
  <c r="BH32"/>
  <c r="BI32"/>
  <c r="BF32"/>
  <c r="BH28"/>
  <c r="BF49"/>
  <c r="BK22"/>
  <c r="BN22"/>
  <c r="BI52"/>
  <c r="BH45"/>
  <c r="BF45"/>
  <c r="BI45"/>
  <c r="BF24"/>
  <c r="BH24"/>
  <c r="BI24"/>
  <c r="BC59"/>
  <c r="BR90"/>
  <c r="BR63"/>
  <c r="C24"/>
  <c r="C25" s="1"/>
  <c r="BR67"/>
  <c r="S19"/>
  <c r="S18" s="1"/>
  <c r="BC74"/>
  <c r="BR89"/>
  <c r="BR85"/>
  <c r="BR74"/>
  <c r="BR61"/>
  <c r="R18"/>
  <c r="Q18" s="1"/>
  <c r="Q25"/>
  <c r="BR37"/>
  <c r="BI75"/>
  <c r="BF75"/>
  <c r="BH75"/>
  <c r="BI77"/>
  <c r="BF77"/>
  <c r="BH77"/>
  <c r="BN62"/>
  <c r="BK62"/>
  <c r="BF42"/>
  <c r="BH42"/>
  <c r="BI42"/>
  <c r="BR64"/>
  <c r="D59"/>
  <c r="Q58"/>
  <c r="BR95"/>
  <c r="BR68"/>
  <c r="BR92"/>
  <c r="BR86"/>
  <c r="BC25"/>
  <c r="BR38"/>
  <c r="U19"/>
  <c r="H51"/>
  <c r="BR21"/>
  <c r="W21" i="5"/>
  <c r="W23"/>
  <c r="W24"/>
  <c r="W27"/>
  <c r="W28"/>
  <c r="W29"/>
  <c r="W30"/>
  <c r="W31"/>
  <c r="W32"/>
  <c r="W33"/>
  <c r="W34"/>
  <c r="W36"/>
  <c r="W37"/>
  <c r="W39"/>
  <c r="W38" s="1"/>
  <c r="W47"/>
  <c r="W48"/>
  <c r="W49"/>
  <c r="W52"/>
  <c r="W53"/>
  <c r="W54"/>
  <c r="W55"/>
  <c r="W56"/>
  <c r="W57"/>
  <c r="W60"/>
  <c r="W61"/>
  <c r="W63"/>
  <c r="W64"/>
  <c r="W65"/>
  <c r="W66"/>
  <c r="W67"/>
  <c r="W68"/>
  <c r="W70"/>
  <c r="W71"/>
  <c r="W72"/>
  <c r="W75"/>
  <c r="W76"/>
  <c r="W77"/>
  <c r="W78"/>
  <c r="W79"/>
  <c r="W81"/>
  <c r="W82"/>
  <c r="W83"/>
  <c r="W84"/>
  <c r="W85"/>
  <c r="X85" s="1"/>
  <c r="W86"/>
  <c r="W87"/>
  <c r="W88"/>
  <c r="W89"/>
  <c r="W91"/>
  <c r="W93"/>
  <c r="W94"/>
  <c r="W95"/>
  <c r="V61"/>
  <c r="V60"/>
  <c r="V39"/>
  <c r="V95"/>
  <c r="V91"/>
  <c r="V89"/>
  <c r="V88"/>
  <c r="X88" s="1"/>
  <c r="V87"/>
  <c r="V86"/>
  <c r="V85"/>
  <c r="V84"/>
  <c r="X84" s="1"/>
  <c r="V83"/>
  <c r="V82"/>
  <c r="X82" s="1"/>
  <c r="V81"/>
  <c r="V79"/>
  <c r="V78"/>
  <c r="V77"/>
  <c r="V76"/>
  <c r="V75"/>
  <c r="X75" s="1"/>
  <c r="V73"/>
  <c r="V72"/>
  <c r="V71"/>
  <c r="V70"/>
  <c r="V67"/>
  <c r="V66"/>
  <c r="V57"/>
  <c r="V54"/>
  <c r="V43"/>
  <c r="V42"/>
  <c r="V41"/>
  <c r="V24"/>
  <c r="T21"/>
  <c r="T23"/>
  <c r="T24"/>
  <c r="T27"/>
  <c r="T28"/>
  <c r="T29"/>
  <c r="T30"/>
  <c r="T31"/>
  <c r="T32"/>
  <c r="T33"/>
  <c r="T34"/>
  <c r="T36"/>
  <c r="T37"/>
  <c r="T39"/>
  <c r="T38" s="1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20"/>
  <c r="S21"/>
  <c r="S22"/>
  <c r="S23"/>
  <c r="S24"/>
  <c r="S25"/>
  <c r="S26"/>
  <c r="S27"/>
  <c r="S28"/>
  <c r="S29"/>
  <c r="S30"/>
  <c r="S31"/>
  <c r="S32"/>
  <c r="S33"/>
  <c r="U33" s="1"/>
  <c r="S34"/>
  <c r="S35"/>
  <c r="S36"/>
  <c r="S37"/>
  <c r="S38"/>
  <c r="S39"/>
  <c r="S40"/>
  <c r="S41"/>
  <c r="S42"/>
  <c r="S43"/>
  <c r="S44"/>
  <c r="S45"/>
  <c r="S46"/>
  <c r="S47"/>
  <c r="S48"/>
  <c r="U48" s="1"/>
  <c r="S49"/>
  <c r="U49" s="1"/>
  <c r="S50"/>
  <c r="S51"/>
  <c r="S52"/>
  <c r="S53"/>
  <c r="S54"/>
  <c r="S55"/>
  <c r="S56"/>
  <c r="S57"/>
  <c r="S58"/>
  <c r="S59"/>
  <c r="S60"/>
  <c r="S61"/>
  <c r="S62"/>
  <c r="S63"/>
  <c r="U63" s="1"/>
  <c r="S64"/>
  <c r="S65"/>
  <c r="S66"/>
  <c r="S67"/>
  <c r="S68"/>
  <c r="U68" s="1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4"/>
  <c r="S95"/>
  <c r="S20"/>
  <c r="W20"/>
  <c r="W19" s="1"/>
  <c r="AZ95"/>
  <c r="R95"/>
  <c r="J95"/>
  <c r="A95"/>
  <c r="AZ94"/>
  <c r="R94"/>
  <c r="V94" s="1"/>
  <c r="J94"/>
  <c r="A94"/>
  <c r="BB94" s="1"/>
  <c r="AZ93"/>
  <c r="AA93"/>
  <c r="R93"/>
  <c r="J93"/>
  <c r="A93"/>
  <c r="BD93" s="1"/>
  <c r="AZ92"/>
  <c r="J92"/>
  <c r="K92" s="1"/>
  <c r="A92" s="1"/>
  <c r="G92" s="1"/>
  <c r="AZ91"/>
  <c r="R91"/>
  <c r="R90" s="1"/>
  <c r="V90" s="1"/>
  <c r="J91"/>
  <c r="A91"/>
  <c r="H91" s="1"/>
  <c r="AZ90"/>
  <c r="J90"/>
  <c r="K90" s="1"/>
  <c r="A90" s="1"/>
  <c r="Q90" s="1"/>
  <c r="AZ89"/>
  <c r="R89"/>
  <c r="J89"/>
  <c r="A89"/>
  <c r="BB89" s="1"/>
  <c r="AZ88"/>
  <c r="R88"/>
  <c r="J88"/>
  <c r="A88"/>
  <c r="BD88" s="1"/>
  <c r="AZ87"/>
  <c r="R87"/>
  <c r="J87"/>
  <c r="A87"/>
  <c r="B87" s="1"/>
  <c r="AZ86"/>
  <c r="X86"/>
  <c r="R86"/>
  <c r="J86"/>
  <c r="A86"/>
  <c r="BB86" s="1"/>
  <c r="AZ85"/>
  <c r="R85"/>
  <c r="J85"/>
  <c r="A85"/>
  <c r="BD85" s="1"/>
  <c r="AZ84"/>
  <c r="R84"/>
  <c r="J84"/>
  <c r="A84"/>
  <c r="H84" s="1"/>
  <c r="AZ83"/>
  <c r="R83"/>
  <c r="J83"/>
  <c r="A83"/>
  <c r="BB83" s="1"/>
  <c r="AZ82"/>
  <c r="R82"/>
  <c r="J82"/>
  <c r="A82"/>
  <c r="BD82" s="1"/>
  <c r="AZ81"/>
  <c r="R81"/>
  <c r="J81"/>
  <c r="A81"/>
  <c r="B81" s="1"/>
  <c r="AZ80"/>
  <c r="J80"/>
  <c r="K80" s="1"/>
  <c r="A80" s="1"/>
  <c r="G80" s="1"/>
  <c r="AZ79"/>
  <c r="R79"/>
  <c r="J79"/>
  <c r="A79"/>
  <c r="H79" s="1"/>
  <c r="AZ78"/>
  <c r="X78"/>
  <c r="R78"/>
  <c r="J78"/>
  <c r="A78"/>
  <c r="BD78" s="1"/>
  <c r="AZ77"/>
  <c r="X77"/>
  <c r="R77"/>
  <c r="J77"/>
  <c r="A77"/>
  <c r="BB77" s="1"/>
  <c r="AZ76"/>
  <c r="R76"/>
  <c r="J76"/>
  <c r="A76"/>
  <c r="BD76" s="1"/>
  <c r="AZ75"/>
  <c r="R75"/>
  <c r="J75"/>
  <c r="A75"/>
  <c r="H75" s="1"/>
  <c r="AZ74"/>
  <c r="J74"/>
  <c r="K74" s="1"/>
  <c r="A74" s="1"/>
  <c r="E74" s="1"/>
  <c r="AZ73"/>
  <c r="R73"/>
  <c r="W73" s="1"/>
  <c r="X73" s="1"/>
  <c r="J73"/>
  <c r="A73"/>
  <c r="BB73" s="1"/>
  <c r="AZ72"/>
  <c r="R72"/>
  <c r="J72"/>
  <c r="A72"/>
  <c r="I72" s="1"/>
  <c r="AZ71"/>
  <c r="X71"/>
  <c r="R71"/>
  <c r="J71"/>
  <c r="A71"/>
  <c r="H71" s="1"/>
  <c r="AZ70"/>
  <c r="R70"/>
  <c r="J70"/>
  <c r="A70"/>
  <c r="BB70" s="1"/>
  <c r="AZ69"/>
  <c r="J69"/>
  <c r="K69" s="1"/>
  <c r="A69" s="1"/>
  <c r="AZ68"/>
  <c r="R68"/>
  <c r="V68" s="1"/>
  <c r="J68"/>
  <c r="A68"/>
  <c r="BB68" s="1"/>
  <c r="AZ67"/>
  <c r="R67"/>
  <c r="J67"/>
  <c r="A67"/>
  <c r="BD67" s="1"/>
  <c r="AZ66"/>
  <c r="X66"/>
  <c r="R66"/>
  <c r="J66"/>
  <c r="A66"/>
  <c r="BD66" s="1"/>
  <c r="AZ65"/>
  <c r="U65"/>
  <c r="R65"/>
  <c r="V65" s="1"/>
  <c r="X65" s="1"/>
  <c r="J65"/>
  <c r="A65"/>
  <c r="BB65" s="1"/>
  <c r="AZ64"/>
  <c r="R64"/>
  <c r="V64" s="1"/>
  <c r="J64"/>
  <c r="A64"/>
  <c r="BB64" s="1"/>
  <c r="AZ63"/>
  <c r="R63"/>
  <c r="V63" s="1"/>
  <c r="J63"/>
  <c r="A63"/>
  <c r="BB63" s="1"/>
  <c r="AZ62"/>
  <c r="J62"/>
  <c r="K62" s="1"/>
  <c r="A62" s="1"/>
  <c r="AZ61"/>
  <c r="X61"/>
  <c r="R61"/>
  <c r="J61"/>
  <c r="A61"/>
  <c r="BD61" s="1"/>
  <c r="AZ60"/>
  <c r="R60"/>
  <c r="J60"/>
  <c r="A60"/>
  <c r="BD60" s="1"/>
  <c r="AZ59"/>
  <c r="J59"/>
  <c r="K59" s="1"/>
  <c r="A59" s="1"/>
  <c r="BB59" s="1"/>
  <c r="AZ58"/>
  <c r="J58"/>
  <c r="K58" s="1"/>
  <c r="A58" s="1"/>
  <c r="F58" s="1"/>
  <c r="AZ57"/>
  <c r="X57"/>
  <c r="R57"/>
  <c r="J57"/>
  <c r="A57"/>
  <c r="I57" s="1"/>
  <c r="AZ56"/>
  <c r="R56"/>
  <c r="V56" s="1"/>
  <c r="J56"/>
  <c r="A56"/>
  <c r="BB56" s="1"/>
  <c r="AZ55"/>
  <c r="R55"/>
  <c r="V55" s="1"/>
  <c r="J55"/>
  <c r="A55"/>
  <c r="BD55" s="1"/>
  <c r="AZ54"/>
  <c r="R54"/>
  <c r="J54"/>
  <c r="A54"/>
  <c r="BD54" s="1"/>
  <c r="AZ53"/>
  <c r="R53"/>
  <c r="V53" s="1"/>
  <c r="J53"/>
  <c r="A53"/>
  <c r="BD53" s="1"/>
  <c r="AZ52"/>
  <c r="R52"/>
  <c r="J52"/>
  <c r="A52"/>
  <c r="BD52" s="1"/>
  <c r="AZ51"/>
  <c r="J51"/>
  <c r="K51" s="1"/>
  <c r="A51" s="1"/>
  <c r="E51" s="1"/>
  <c r="AZ50"/>
  <c r="J50"/>
  <c r="K50" s="1"/>
  <c r="A50" s="1"/>
  <c r="BB50" s="1"/>
  <c r="AZ49"/>
  <c r="R49"/>
  <c r="J49"/>
  <c r="A49"/>
  <c r="BD49" s="1"/>
  <c r="AZ48"/>
  <c r="R48"/>
  <c r="V48" s="1"/>
  <c r="J48"/>
  <c r="A48"/>
  <c r="B48" s="1"/>
  <c r="AZ47"/>
  <c r="U47"/>
  <c r="R47"/>
  <c r="V47" s="1"/>
  <c r="J47"/>
  <c r="A47"/>
  <c r="H47" s="1"/>
  <c r="AZ46"/>
  <c r="J46"/>
  <c r="K46" s="1"/>
  <c r="A46" s="1"/>
  <c r="AZ45"/>
  <c r="R45"/>
  <c r="V45" s="1"/>
  <c r="J45"/>
  <c r="A45"/>
  <c r="AZ44"/>
  <c r="R44"/>
  <c r="V44" s="1"/>
  <c r="J44"/>
  <c r="A44"/>
  <c r="BB44" s="1"/>
  <c r="AZ43"/>
  <c r="R43"/>
  <c r="W43" s="1"/>
  <c r="J43"/>
  <c r="A43"/>
  <c r="AZ42"/>
  <c r="X42"/>
  <c r="R42"/>
  <c r="J42"/>
  <c r="A42"/>
  <c r="BB42" s="1"/>
  <c r="AZ41"/>
  <c r="R41"/>
  <c r="W41" s="1"/>
  <c r="J41"/>
  <c r="A41"/>
  <c r="BB41" s="1"/>
  <c r="AZ40"/>
  <c r="J40"/>
  <c r="K40" s="1"/>
  <c r="A40" s="1"/>
  <c r="BD40" s="1"/>
  <c r="AZ39"/>
  <c r="R39"/>
  <c r="R38" s="1"/>
  <c r="V38" s="1"/>
  <c r="J39"/>
  <c r="A39"/>
  <c r="B39" s="1"/>
  <c r="AZ38"/>
  <c r="J38"/>
  <c r="K38" s="1"/>
  <c r="A38" s="1"/>
  <c r="Q38" s="1"/>
  <c r="AZ37"/>
  <c r="R37"/>
  <c r="J37"/>
  <c r="A37"/>
  <c r="AZ36"/>
  <c r="R36"/>
  <c r="V36" s="1"/>
  <c r="J36"/>
  <c r="A36"/>
  <c r="I36" s="1"/>
  <c r="AZ35"/>
  <c r="J35"/>
  <c r="K35" s="1"/>
  <c r="A35" s="1"/>
  <c r="AZ34"/>
  <c r="R34"/>
  <c r="V34" s="1"/>
  <c r="J34"/>
  <c r="A34"/>
  <c r="B34" s="1"/>
  <c r="AZ33"/>
  <c r="R33"/>
  <c r="V33" s="1"/>
  <c r="J33"/>
  <c r="A33"/>
  <c r="BD33" s="1"/>
  <c r="AZ32"/>
  <c r="R32"/>
  <c r="V32" s="1"/>
  <c r="J32"/>
  <c r="A32"/>
  <c r="BB32" s="1"/>
  <c r="AZ31"/>
  <c r="R31"/>
  <c r="J31"/>
  <c r="A31"/>
  <c r="BD31" s="1"/>
  <c r="AZ30"/>
  <c r="R30"/>
  <c r="V30" s="1"/>
  <c r="X30" s="1"/>
  <c r="J30"/>
  <c r="A30"/>
  <c r="AZ29"/>
  <c r="U29"/>
  <c r="R29"/>
  <c r="V29" s="1"/>
  <c r="J29"/>
  <c r="A29"/>
  <c r="BD29" s="1"/>
  <c r="AZ28"/>
  <c r="R28"/>
  <c r="V28" s="1"/>
  <c r="J28"/>
  <c r="A28"/>
  <c r="BB28" s="1"/>
  <c r="AZ27"/>
  <c r="U27"/>
  <c r="R27"/>
  <c r="V27" s="1"/>
  <c r="J27"/>
  <c r="A27"/>
  <c r="AZ26"/>
  <c r="J26"/>
  <c r="K26" s="1"/>
  <c r="A26" s="1"/>
  <c r="AZ25"/>
  <c r="J25"/>
  <c r="K25" s="1"/>
  <c r="A25" s="1"/>
  <c r="AZ24"/>
  <c r="R24"/>
  <c r="J24"/>
  <c r="A24"/>
  <c r="BD24" s="1"/>
  <c r="AZ23"/>
  <c r="R23"/>
  <c r="V23" s="1"/>
  <c r="J23"/>
  <c r="A23"/>
  <c r="BD23" s="1"/>
  <c r="AZ22"/>
  <c r="J22"/>
  <c r="K22" s="1"/>
  <c r="A22" s="1"/>
  <c r="AZ21"/>
  <c r="U21"/>
  <c r="R21"/>
  <c r="V21" s="1"/>
  <c r="J21"/>
  <c r="A21"/>
  <c r="Q21" s="1"/>
  <c r="AZ20"/>
  <c r="R20"/>
  <c r="V20" s="1"/>
  <c r="J20"/>
  <c r="A20"/>
  <c r="I20" s="1"/>
  <c r="AZ19"/>
  <c r="J19"/>
  <c r="A19"/>
  <c r="C19" s="1"/>
  <c r="BM18"/>
  <c r="BL18"/>
  <c r="AO18"/>
  <c r="AC18"/>
  <c r="BN17"/>
  <c r="BK17"/>
  <c r="BH17"/>
  <c r="AA17"/>
  <c r="AB17" s="1"/>
  <c r="AC17" s="1"/>
  <c r="AD17" s="1"/>
  <c r="AE17" s="1"/>
  <c r="AF17" s="1"/>
  <c r="AG17" s="1"/>
  <c r="AH17" s="1"/>
  <c r="AI17" s="1"/>
  <c r="AJ17" s="1"/>
  <c r="AK17" s="1"/>
  <c r="AL17" s="1"/>
  <c r="AM17" s="1"/>
  <c r="AN17" s="1"/>
  <c r="AO17" s="1"/>
  <c r="AP17" s="1"/>
  <c r="AQ17" s="1"/>
  <c r="AR17" s="1"/>
  <c r="AS17" s="1"/>
  <c r="AT17" s="1"/>
  <c r="AU17" s="1"/>
  <c r="AV17" s="1"/>
  <c r="AW17" s="1"/>
  <c r="AY16"/>
  <c r="S16"/>
  <c r="I15"/>
  <c r="BD14"/>
  <c r="W54" i="4"/>
  <c r="W53"/>
  <c r="W32"/>
  <c r="AA86"/>
  <c r="BI49" i="6" l="1"/>
  <c r="BF33"/>
  <c r="BI33"/>
  <c r="BN42"/>
  <c r="BN41"/>
  <c r="BN73"/>
  <c r="BF28"/>
  <c r="BK53"/>
  <c r="BI53" s="1"/>
  <c r="U37" i="5"/>
  <c r="U34"/>
  <c r="U30"/>
  <c r="X76"/>
  <c r="BR76" s="1"/>
  <c r="BN76" s="1"/>
  <c r="X89"/>
  <c r="X60"/>
  <c r="U32"/>
  <c r="U28"/>
  <c r="T19"/>
  <c r="X54"/>
  <c r="BH52" i="6"/>
  <c r="BN52"/>
  <c r="BF91"/>
  <c r="BI93"/>
  <c r="BI79"/>
  <c r="BH76"/>
  <c r="BK56"/>
  <c r="BN56"/>
  <c r="X20" i="5"/>
  <c r="X23"/>
  <c r="U20"/>
  <c r="X29"/>
  <c r="G81"/>
  <c r="G82" s="1"/>
  <c r="G83" s="1"/>
  <c r="G84" s="1"/>
  <c r="G85" s="1"/>
  <c r="G86" s="1"/>
  <c r="G87" s="1"/>
  <c r="G88" s="1"/>
  <c r="G89" s="1"/>
  <c r="X67"/>
  <c r="X68"/>
  <c r="B84"/>
  <c r="B91"/>
  <c r="U23"/>
  <c r="BN51" i="6"/>
  <c r="U94" i="5"/>
  <c r="B32"/>
  <c r="H85"/>
  <c r="R92"/>
  <c r="V92" s="1"/>
  <c r="U31"/>
  <c r="Q50" i="6"/>
  <c r="BI27"/>
  <c r="BF70"/>
  <c r="BH78"/>
  <c r="BF27"/>
  <c r="BH70"/>
  <c r="BI78"/>
  <c r="BH53"/>
  <c r="BH39"/>
  <c r="BI82"/>
  <c r="BI39"/>
  <c r="BF44"/>
  <c r="BH30"/>
  <c r="BI34"/>
  <c r="BH82"/>
  <c r="BH34"/>
  <c r="BH44"/>
  <c r="BI30"/>
  <c r="BK80"/>
  <c r="BH80" s="1"/>
  <c r="BN58"/>
  <c r="BN40"/>
  <c r="BN35"/>
  <c r="BK25"/>
  <c r="BI25" s="1"/>
  <c r="BK86"/>
  <c r="BN86"/>
  <c r="BF41"/>
  <c r="BH41"/>
  <c r="BI41"/>
  <c r="BK89"/>
  <c r="BN89"/>
  <c r="C26"/>
  <c r="BK84"/>
  <c r="BN84"/>
  <c r="BK83"/>
  <c r="BN83"/>
  <c r="BK87"/>
  <c r="BN87"/>
  <c r="BK19"/>
  <c r="BN19"/>
  <c r="BF54"/>
  <c r="BH54"/>
  <c r="BI54"/>
  <c r="BK21"/>
  <c r="BN21"/>
  <c r="BK95"/>
  <c r="BN95"/>
  <c r="BF62"/>
  <c r="BH62"/>
  <c r="BI62"/>
  <c r="BF73"/>
  <c r="BH73"/>
  <c r="BI73"/>
  <c r="BK85"/>
  <c r="BN85"/>
  <c r="BN67"/>
  <c r="BK67"/>
  <c r="BK69"/>
  <c r="BN69"/>
  <c r="BN66"/>
  <c r="BK66"/>
  <c r="BN46"/>
  <c r="BK46"/>
  <c r="BN65"/>
  <c r="BK65"/>
  <c r="I22"/>
  <c r="BK38"/>
  <c r="BN38"/>
  <c r="BN68"/>
  <c r="BK68"/>
  <c r="BN64"/>
  <c r="BK64"/>
  <c r="BN37"/>
  <c r="BK37"/>
  <c r="BK74"/>
  <c r="BN74"/>
  <c r="BN90"/>
  <c r="BK90"/>
  <c r="BF22"/>
  <c r="BH22"/>
  <c r="BI22"/>
  <c r="BK20"/>
  <c r="BN20"/>
  <c r="BK60"/>
  <c r="BN60"/>
  <c r="BH59"/>
  <c r="BI59"/>
  <c r="BF59"/>
  <c r="BK92"/>
  <c r="BN92"/>
  <c r="D60"/>
  <c r="BK61"/>
  <c r="BN61"/>
  <c r="BN63"/>
  <c r="BK63"/>
  <c r="BF40"/>
  <c r="BH40"/>
  <c r="BI40"/>
  <c r="BH51"/>
  <c r="BI51"/>
  <c r="BF51"/>
  <c r="BK26"/>
  <c r="BN26"/>
  <c r="BK88"/>
  <c r="BN88"/>
  <c r="BF47"/>
  <c r="BH47"/>
  <c r="BI47"/>
  <c r="BF35"/>
  <c r="BH35"/>
  <c r="BI35"/>
  <c r="BI58"/>
  <c r="BF58"/>
  <c r="BH58"/>
  <c r="BN36"/>
  <c r="BK36"/>
  <c r="BK94"/>
  <c r="BN94"/>
  <c r="BA18"/>
  <c r="AZ18" s="1"/>
  <c r="BC18"/>
  <c r="D28"/>
  <c r="Q55" i="5"/>
  <c r="Q67"/>
  <c r="H76"/>
  <c r="BB76"/>
  <c r="BC76" s="1"/>
  <c r="T22"/>
  <c r="W22"/>
  <c r="I32"/>
  <c r="H21"/>
  <c r="BB53"/>
  <c r="BC53" s="1"/>
  <c r="BB84"/>
  <c r="B76"/>
  <c r="H78"/>
  <c r="H81"/>
  <c r="B36"/>
  <c r="I44"/>
  <c r="BD44"/>
  <c r="BC44" s="1"/>
  <c r="H44"/>
  <c r="R51"/>
  <c r="Q51" s="1"/>
  <c r="Q53"/>
  <c r="Q66"/>
  <c r="BB66"/>
  <c r="Q20"/>
  <c r="Q60"/>
  <c r="H66"/>
  <c r="BR66"/>
  <c r="BK66" s="1"/>
  <c r="H67"/>
  <c r="H82"/>
  <c r="BB82"/>
  <c r="BC82" s="1"/>
  <c r="B88"/>
  <c r="C20"/>
  <c r="C21" s="1"/>
  <c r="C22" s="1"/>
  <c r="C23" s="1"/>
  <c r="H55"/>
  <c r="B82"/>
  <c r="H87"/>
  <c r="I48"/>
  <c r="BB48"/>
  <c r="H60"/>
  <c r="W35"/>
  <c r="B65"/>
  <c r="BD68"/>
  <c r="BC68" s="1"/>
  <c r="B75"/>
  <c r="W80"/>
  <c r="W59"/>
  <c r="G19"/>
  <c r="G20" s="1"/>
  <c r="G21" s="1"/>
  <c r="BD21"/>
  <c r="H31"/>
  <c r="I33"/>
  <c r="H53"/>
  <c r="BD19"/>
  <c r="BD47"/>
  <c r="I79"/>
  <c r="W92"/>
  <c r="W51"/>
  <c r="W50" s="1"/>
  <c r="F19"/>
  <c r="F20" s="1"/>
  <c r="F21" s="1"/>
  <c r="BR29"/>
  <c r="BK29" s="1"/>
  <c r="I47"/>
  <c r="BB54"/>
  <c r="BC54" s="1"/>
  <c r="R69"/>
  <c r="V69" s="1"/>
  <c r="BD75"/>
  <c r="BR75" s="1"/>
  <c r="BN75" s="1"/>
  <c r="H88"/>
  <c r="BB88"/>
  <c r="BC88" s="1"/>
  <c r="V93"/>
  <c r="T26"/>
  <c r="W74"/>
  <c r="W62"/>
  <c r="W46"/>
  <c r="E59"/>
  <c r="E60" s="1"/>
  <c r="E61" s="1"/>
  <c r="E46"/>
  <c r="E47" s="1"/>
  <c r="E48" s="1"/>
  <c r="E49" s="1"/>
  <c r="D46"/>
  <c r="D47" s="1"/>
  <c r="D48" s="1"/>
  <c r="D49" s="1"/>
  <c r="V51"/>
  <c r="F69"/>
  <c r="F70" s="1"/>
  <c r="F71" s="1"/>
  <c r="F72" s="1"/>
  <c r="F73" s="1"/>
  <c r="BB34"/>
  <c r="Q36"/>
  <c r="BD36"/>
  <c r="E40"/>
  <c r="E41" s="1"/>
  <c r="E42" s="1"/>
  <c r="E43" s="1"/>
  <c r="E44" s="1"/>
  <c r="E45" s="1"/>
  <c r="I42"/>
  <c r="H77"/>
  <c r="Q78"/>
  <c r="BB78"/>
  <c r="BC78" s="1"/>
  <c r="Q81"/>
  <c r="BD81"/>
  <c r="H83"/>
  <c r="Q85"/>
  <c r="BB85"/>
  <c r="BC85" s="1"/>
  <c r="H86"/>
  <c r="Q87"/>
  <c r="BD87"/>
  <c r="H89"/>
  <c r="D90"/>
  <c r="D91" s="1"/>
  <c r="B94"/>
  <c r="U64"/>
  <c r="U56"/>
  <c r="V52"/>
  <c r="X52" s="1"/>
  <c r="BR52" s="1"/>
  <c r="BK52" s="1"/>
  <c r="X87"/>
  <c r="X83"/>
  <c r="X27"/>
  <c r="BB24"/>
  <c r="BC24" s="1"/>
  <c r="B20"/>
  <c r="H24"/>
  <c r="H33"/>
  <c r="I34"/>
  <c r="BB36"/>
  <c r="G38"/>
  <c r="G39" s="1"/>
  <c r="I39"/>
  <c r="BD39"/>
  <c r="H42"/>
  <c r="B44"/>
  <c r="I49"/>
  <c r="Q52"/>
  <c r="H54"/>
  <c r="BB55"/>
  <c r="BC55" s="1"/>
  <c r="Q56"/>
  <c r="BB60"/>
  <c r="BC60" s="1"/>
  <c r="Q61"/>
  <c r="BB61"/>
  <c r="BC61" s="1"/>
  <c r="B63"/>
  <c r="Q64"/>
  <c r="H68"/>
  <c r="I70"/>
  <c r="Q75"/>
  <c r="BB75"/>
  <c r="B77"/>
  <c r="BD77"/>
  <c r="BR77" s="1"/>
  <c r="BB81"/>
  <c r="B83"/>
  <c r="Q84"/>
  <c r="BD84"/>
  <c r="B86"/>
  <c r="BD86"/>
  <c r="BC86" s="1"/>
  <c r="BB87"/>
  <c r="B89"/>
  <c r="BD89"/>
  <c r="BR89" s="1"/>
  <c r="Q91"/>
  <c r="Q94"/>
  <c r="S93"/>
  <c r="U93" s="1"/>
  <c r="V37"/>
  <c r="X37" s="1"/>
  <c r="X32"/>
  <c r="BB20"/>
  <c r="BB18" s="1"/>
  <c r="AY18" s="1"/>
  <c r="X21"/>
  <c r="B24"/>
  <c r="R22"/>
  <c r="V22" s="1"/>
  <c r="X22" s="1"/>
  <c r="I31"/>
  <c r="X33"/>
  <c r="H36"/>
  <c r="F38"/>
  <c r="F39" s="1"/>
  <c r="B42"/>
  <c r="H49"/>
  <c r="BB52"/>
  <c r="BC52" s="1"/>
  <c r="BD56"/>
  <c r="BC56" s="1"/>
  <c r="BD64"/>
  <c r="BC64" s="1"/>
  <c r="I71"/>
  <c r="Q77"/>
  <c r="Q83"/>
  <c r="BD83"/>
  <c r="BR83" s="1"/>
  <c r="Q86"/>
  <c r="Q89"/>
  <c r="BD91"/>
  <c r="BD94"/>
  <c r="BC94" s="1"/>
  <c r="U70"/>
  <c r="U36"/>
  <c r="X55"/>
  <c r="W26"/>
  <c r="W25" s="1"/>
  <c r="T35"/>
  <c r="Q24"/>
  <c r="BD42"/>
  <c r="BR42" s="1"/>
  <c r="H52"/>
  <c r="Q54"/>
  <c r="H56"/>
  <c r="R59"/>
  <c r="H61"/>
  <c r="H64"/>
  <c r="BB67"/>
  <c r="BC67" s="1"/>
  <c r="Q68"/>
  <c r="Q76"/>
  <c r="B78"/>
  <c r="Q82"/>
  <c r="B85"/>
  <c r="Q88"/>
  <c r="B93"/>
  <c r="H94"/>
  <c r="V31"/>
  <c r="X31" s="1"/>
  <c r="BR31" s="1"/>
  <c r="V49"/>
  <c r="X49" s="1"/>
  <c r="BR49" s="1"/>
  <c r="BR88"/>
  <c r="BN88" s="1"/>
  <c r="X91"/>
  <c r="W90"/>
  <c r="X90" s="1"/>
  <c r="BR61"/>
  <c r="BN61" s="1"/>
  <c r="BR60"/>
  <c r="BK60" s="1"/>
  <c r="BH60" s="1"/>
  <c r="BR55"/>
  <c r="BN55" s="1"/>
  <c r="BR54"/>
  <c r="BK54" s="1"/>
  <c r="BF54" s="1"/>
  <c r="BR85"/>
  <c r="BK85" s="1"/>
  <c r="W69"/>
  <c r="W40"/>
  <c r="X24"/>
  <c r="BR24" s="1"/>
  <c r="BN24" s="1"/>
  <c r="X56"/>
  <c r="X48"/>
  <c r="X44"/>
  <c r="BD26"/>
  <c r="G26"/>
  <c r="G27" s="1"/>
  <c r="G28" s="1"/>
  <c r="G29" s="1"/>
  <c r="G30" s="1"/>
  <c r="G31" s="1"/>
  <c r="G32" s="1"/>
  <c r="G33" s="1"/>
  <c r="G34" s="1"/>
  <c r="E26"/>
  <c r="E27" s="1"/>
  <c r="E28" s="1"/>
  <c r="E29" s="1"/>
  <c r="E30" s="1"/>
  <c r="E31" s="1"/>
  <c r="E32" s="1"/>
  <c r="E33" s="1"/>
  <c r="E34" s="1"/>
  <c r="BB26"/>
  <c r="F26"/>
  <c r="F27" s="1"/>
  <c r="F28" s="1"/>
  <c r="F29" s="1"/>
  <c r="F30" s="1"/>
  <c r="F31" s="1"/>
  <c r="F32" s="1"/>
  <c r="F33" s="1"/>
  <c r="F34" s="1"/>
  <c r="U24"/>
  <c r="D25"/>
  <c r="D26" s="1"/>
  <c r="D27" s="1"/>
  <c r="G25"/>
  <c r="BD25"/>
  <c r="BB25"/>
  <c r="F25"/>
  <c r="E25"/>
  <c r="F35"/>
  <c r="F36" s="1"/>
  <c r="F37" s="1"/>
  <c r="E35"/>
  <c r="E36" s="1"/>
  <c r="E37" s="1"/>
  <c r="BD35"/>
  <c r="BB35"/>
  <c r="G35"/>
  <c r="G36" s="1"/>
  <c r="G37" s="1"/>
  <c r="X36"/>
  <c r="BB22"/>
  <c r="E22"/>
  <c r="E23" s="1"/>
  <c r="E24" s="1"/>
  <c r="U22"/>
  <c r="D22"/>
  <c r="D23" s="1"/>
  <c r="D24" s="1"/>
  <c r="BD22"/>
  <c r="G22"/>
  <c r="G23" s="1"/>
  <c r="G24" s="1"/>
  <c r="F22"/>
  <c r="F23" s="1"/>
  <c r="F24" s="1"/>
  <c r="BR23"/>
  <c r="BR33"/>
  <c r="BB27"/>
  <c r="B27"/>
  <c r="Q27"/>
  <c r="Q28"/>
  <c r="Q43"/>
  <c r="I43"/>
  <c r="BD43"/>
  <c r="U43"/>
  <c r="H43"/>
  <c r="B43"/>
  <c r="U44"/>
  <c r="Q45"/>
  <c r="I45"/>
  <c r="BD45"/>
  <c r="U45"/>
  <c r="H45"/>
  <c r="B45"/>
  <c r="BH54"/>
  <c r="U89"/>
  <c r="I21"/>
  <c r="B23"/>
  <c r="BB23"/>
  <c r="BC23" s="1"/>
  <c r="H27"/>
  <c r="B28"/>
  <c r="BB29"/>
  <c r="BC29" s="1"/>
  <c r="B29"/>
  <c r="Q29"/>
  <c r="BD37"/>
  <c r="Q37"/>
  <c r="X41"/>
  <c r="BB43"/>
  <c r="BB45"/>
  <c r="D58"/>
  <c r="D59" s="1"/>
  <c r="D60" s="1"/>
  <c r="D61" s="1"/>
  <c r="D62" s="1"/>
  <c r="D63" s="1"/>
  <c r="BD58"/>
  <c r="G58"/>
  <c r="BB58"/>
  <c r="BN60"/>
  <c r="X70"/>
  <c r="X69"/>
  <c r="BR78"/>
  <c r="D19"/>
  <c r="D20" s="1"/>
  <c r="D21" s="1"/>
  <c r="R19"/>
  <c r="U19" s="1"/>
  <c r="V19"/>
  <c r="BB19"/>
  <c r="H20"/>
  <c r="BD20"/>
  <c r="B21"/>
  <c r="BB21"/>
  <c r="Q23"/>
  <c r="I24"/>
  <c r="R26"/>
  <c r="V26" s="1"/>
  <c r="X26" s="1"/>
  <c r="I27"/>
  <c r="I28"/>
  <c r="H29"/>
  <c r="B30"/>
  <c r="BB31"/>
  <c r="BC31" s="1"/>
  <c r="B31"/>
  <c r="Q31"/>
  <c r="BD32"/>
  <c r="BC32" s="1"/>
  <c r="H32"/>
  <c r="Q32"/>
  <c r="X34"/>
  <c r="R35"/>
  <c r="B37"/>
  <c r="H37"/>
  <c r="BB38"/>
  <c r="E38"/>
  <c r="E39" s="1"/>
  <c r="BD38"/>
  <c r="U38"/>
  <c r="D38"/>
  <c r="D39" s="1"/>
  <c r="X39"/>
  <c r="X38"/>
  <c r="X43"/>
  <c r="X45"/>
  <c r="D50"/>
  <c r="D51" s="1"/>
  <c r="D52" s="1"/>
  <c r="BD50"/>
  <c r="BC50" s="1"/>
  <c r="G50"/>
  <c r="E50"/>
  <c r="U50"/>
  <c r="BD51"/>
  <c r="G51"/>
  <c r="G52" s="1"/>
  <c r="G53" s="1"/>
  <c r="G54" s="1"/>
  <c r="G55" s="1"/>
  <c r="G56" s="1"/>
  <c r="G57" s="1"/>
  <c r="U51"/>
  <c r="F51"/>
  <c r="F52" s="1"/>
  <c r="F53" s="1"/>
  <c r="F54" s="1"/>
  <c r="F55" s="1"/>
  <c r="F56" s="1"/>
  <c r="F57" s="1"/>
  <c r="BB51"/>
  <c r="BB57"/>
  <c r="H57"/>
  <c r="Q57"/>
  <c r="BD57"/>
  <c r="BR57" s="1"/>
  <c r="B57"/>
  <c r="I23"/>
  <c r="BD28"/>
  <c r="BC28" s="1"/>
  <c r="H28"/>
  <c r="BD30"/>
  <c r="H30"/>
  <c r="Q30"/>
  <c r="U79"/>
  <c r="U71"/>
  <c r="U72"/>
  <c r="E19"/>
  <c r="E20" s="1"/>
  <c r="E21" s="1"/>
  <c r="H23"/>
  <c r="BD27"/>
  <c r="X28"/>
  <c r="I29"/>
  <c r="I30"/>
  <c r="BB30"/>
  <c r="BB33"/>
  <c r="BC33" s="1"/>
  <c r="B33"/>
  <c r="Q33"/>
  <c r="BD34"/>
  <c r="H34"/>
  <c r="Q34"/>
  <c r="I37"/>
  <c r="BB37"/>
  <c r="U39"/>
  <c r="D40"/>
  <c r="D41" s="1"/>
  <c r="D42" s="1"/>
  <c r="D43" s="1"/>
  <c r="D44" s="1"/>
  <c r="D45" s="1"/>
  <c r="G40"/>
  <c r="G41" s="1"/>
  <c r="G42" s="1"/>
  <c r="G43" s="1"/>
  <c r="G44" s="1"/>
  <c r="G45" s="1"/>
  <c r="BB40"/>
  <c r="BC40" s="1"/>
  <c r="F40"/>
  <c r="F41" s="1"/>
  <c r="F42" s="1"/>
  <c r="F43" s="1"/>
  <c r="F44" s="1"/>
  <c r="F45" s="1"/>
  <c r="Q41"/>
  <c r="I41"/>
  <c r="BD41"/>
  <c r="BC41" s="1"/>
  <c r="U41"/>
  <c r="H41"/>
  <c r="B41"/>
  <c r="R40"/>
  <c r="U42"/>
  <c r="R46"/>
  <c r="Q46" s="1"/>
  <c r="X47"/>
  <c r="F50"/>
  <c r="U57"/>
  <c r="E58"/>
  <c r="U58"/>
  <c r="BD59"/>
  <c r="BC59" s="1"/>
  <c r="G59"/>
  <c r="G60" s="1"/>
  <c r="G61" s="1"/>
  <c r="U59"/>
  <c r="F59"/>
  <c r="F60" s="1"/>
  <c r="F61" s="1"/>
  <c r="BB62"/>
  <c r="F62"/>
  <c r="F63" s="1"/>
  <c r="F64" s="1"/>
  <c r="F65" s="1"/>
  <c r="F66" s="1"/>
  <c r="F67" s="1"/>
  <c r="F68" s="1"/>
  <c r="E62"/>
  <c r="E63" s="1"/>
  <c r="E64" s="1"/>
  <c r="E65" s="1"/>
  <c r="E66" s="1"/>
  <c r="E67" s="1"/>
  <c r="E68" s="1"/>
  <c r="U62"/>
  <c r="G62"/>
  <c r="G63" s="1"/>
  <c r="G64" s="1"/>
  <c r="G65" s="1"/>
  <c r="G66" s="1"/>
  <c r="G67" s="1"/>
  <c r="G68" s="1"/>
  <c r="BD62"/>
  <c r="BB47"/>
  <c r="B47"/>
  <c r="Q47"/>
  <c r="BD48"/>
  <c r="H48"/>
  <c r="Q48"/>
  <c r="X53"/>
  <c r="BR53" s="1"/>
  <c r="BR67"/>
  <c r="U75"/>
  <c r="BB39"/>
  <c r="H39"/>
  <c r="Q39"/>
  <c r="Q42"/>
  <c r="Q44"/>
  <c r="BD46"/>
  <c r="G46"/>
  <c r="G47" s="1"/>
  <c r="G48" s="1"/>
  <c r="G49" s="1"/>
  <c r="F46"/>
  <c r="F47" s="1"/>
  <c r="F48" s="1"/>
  <c r="F49" s="1"/>
  <c r="BB46"/>
  <c r="BB49"/>
  <c r="BC49" s="1"/>
  <c r="B49"/>
  <c r="Q49"/>
  <c r="BB69"/>
  <c r="E69"/>
  <c r="E70" s="1"/>
  <c r="E71" s="1"/>
  <c r="E72" s="1"/>
  <c r="E73" s="1"/>
  <c r="D69"/>
  <c r="D70" s="1"/>
  <c r="D71" s="1"/>
  <c r="D72" s="1"/>
  <c r="D73" s="1"/>
  <c r="U69"/>
  <c r="BD69"/>
  <c r="G69"/>
  <c r="G70" s="1"/>
  <c r="G71" s="1"/>
  <c r="G72" s="1"/>
  <c r="G73" s="1"/>
  <c r="U83"/>
  <c r="E52"/>
  <c r="E53" s="1"/>
  <c r="E54" s="1"/>
  <c r="E55" s="1"/>
  <c r="E56" s="1"/>
  <c r="E57" s="1"/>
  <c r="I52"/>
  <c r="U52"/>
  <c r="I53"/>
  <c r="U53"/>
  <c r="I54"/>
  <c r="U54"/>
  <c r="I55"/>
  <c r="U55"/>
  <c r="I56"/>
  <c r="I60"/>
  <c r="U60"/>
  <c r="I61"/>
  <c r="U61"/>
  <c r="X64"/>
  <c r="BR64" s="1"/>
  <c r="R62"/>
  <c r="BD73"/>
  <c r="B73"/>
  <c r="U73"/>
  <c r="I73"/>
  <c r="H73"/>
  <c r="Q73"/>
  <c r="R74"/>
  <c r="U77"/>
  <c r="B52"/>
  <c r="B53"/>
  <c r="B54"/>
  <c r="B55"/>
  <c r="B56"/>
  <c r="B60"/>
  <c r="B61"/>
  <c r="BD63"/>
  <c r="BC63" s="1"/>
  <c r="H63"/>
  <c r="Q63"/>
  <c r="I63"/>
  <c r="X63"/>
  <c r="BD65"/>
  <c r="H65"/>
  <c r="Q65"/>
  <c r="I65"/>
  <c r="BC66"/>
  <c r="U76"/>
  <c r="X81"/>
  <c r="I64"/>
  <c r="I66"/>
  <c r="U66"/>
  <c r="I67"/>
  <c r="U67"/>
  <c r="I68"/>
  <c r="BD70"/>
  <c r="BC70" s="1"/>
  <c r="H70"/>
  <c r="Q70"/>
  <c r="BD72"/>
  <c r="B72"/>
  <c r="Q72"/>
  <c r="BB72"/>
  <c r="BD74"/>
  <c r="G74"/>
  <c r="G75" s="1"/>
  <c r="G76" s="1"/>
  <c r="G77" s="1"/>
  <c r="G78" s="1"/>
  <c r="G79" s="1"/>
  <c r="F74"/>
  <c r="F75" s="1"/>
  <c r="F76" s="1"/>
  <c r="F77" s="1"/>
  <c r="F78" s="1"/>
  <c r="F79" s="1"/>
  <c r="U80"/>
  <c r="F80"/>
  <c r="F81" s="1"/>
  <c r="F82" s="1"/>
  <c r="F83" s="1"/>
  <c r="F84" s="1"/>
  <c r="F85" s="1"/>
  <c r="F86" s="1"/>
  <c r="F87" s="1"/>
  <c r="F88" s="1"/>
  <c r="F89" s="1"/>
  <c r="BD80"/>
  <c r="D80"/>
  <c r="D81" s="1"/>
  <c r="D82" s="1"/>
  <c r="D83" s="1"/>
  <c r="D84" s="1"/>
  <c r="D85" s="1"/>
  <c r="D86" s="1"/>
  <c r="D87" s="1"/>
  <c r="D88" s="1"/>
  <c r="D89" s="1"/>
  <c r="BB80"/>
  <c r="U85"/>
  <c r="U86"/>
  <c r="B64"/>
  <c r="B66"/>
  <c r="B67"/>
  <c r="B68"/>
  <c r="B70"/>
  <c r="BD71"/>
  <c r="BR71" s="1"/>
  <c r="B71"/>
  <c r="Q71"/>
  <c r="BB71"/>
  <c r="H72"/>
  <c r="X72"/>
  <c r="BR72" s="1"/>
  <c r="D74"/>
  <c r="D75" s="1"/>
  <c r="D76" s="1"/>
  <c r="D77" s="1"/>
  <c r="D78" s="1"/>
  <c r="D79" s="1"/>
  <c r="BB74"/>
  <c r="E80"/>
  <c r="E81" s="1"/>
  <c r="E82" s="1"/>
  <c r="E83" s="1"/>
  <c r="E84" s="1"/>
  <c r="E85" s="1"/>
  <c r="E86" s="1"/>
  <c r="E87" s="1"/>
  <c r="E88" s="1"/>
  <c r="E89" s="1"/>
  <c r="U81"/>
  <c r="R80"/>
  <c r="BR82"/>
  <c r="BB95"/>
  <c r="H95"/>
  <c r="Q95"/>
  <c r="BD95"/>
  <c r="B95"/>
  <c r="I95"/>
  <c r="U95"/>
  <c r="E75"/>
  <c r="E76" s="1"/>
  <c r="E77" s="1"/>
  <c r="E78" s="1"/>
  <c r="E79" s="1"/>
  <c r="I75"/>
  <c r="I76"/>
  <c r="I77"/>
  <c r="I78"/>
  <c r="U78"/>
  <c r="BD79"/>
  <c r="B79"/>
  <c r="Q79"/>
  <c r="BB79"/>
  <c r="U82"/>
  <c r="BC83"/>
  <c r="U84"/>
  <c r="U88"/>
  <c r="U91"/>
  <c r="U92"/>
  <c r="F92"/>
  <c r="F93" s="1"/>
  <c r="F94" s="1"/>
  <c r="F95" s="1"/>
  <c r="BB92"/>
  <c r="E92"/>
  <c r="E93" s="1"/>
  <c r="E94" s="1"/>
  <c r="E95" s="1"/>
  <c r="D92"/>
  <c r="D93" s="1"/>
  <c r="D94" s="1"/>
  <c r="D95" s="1"/>
  <c r="X79"/>
  <c r="U87"/>
  <c r="BD90"/>
  <c r="G90"/>
  <c r="G91" s="1"/>
  <c r="U90"/>
  <c r="F90"/>
  <c r="F91" s="1"/>
  <c r="BB90"/>
  <c r="E90"/>
  <c r="E91" s="1"/>
  <c r="BD92"/>
  <c r="X93"/>
  <c r="BR93" s="1"/>
  <c r="X94"/>
  <c r="BR94" s="1"/>
  <c r="X95"/>
  <c r="I81"/>
  <c r="I82"/>
  <c r="I83"/>
  <c r="I84"/>
  <c r="I85"/>
  <c r="I86"/>
  <c r="I87"/>
  <c r="I88"/>
  <c r="I89"/>
  <c r="BB91"/>
  <c r="G93"/>
  <c r="G94" s="1"/>
  <c r="G95" s="1"/>
  <c r="Q93"/>
  <c r="BB93"/>
  <c r="BC93" s="1"/>
  <c r="I91"/>
  <c r="H93"/>
  <c r="I94"/>
  <c r="I93"/>
  <c r="W52" i="4"/>
  <c r="W16"/>
  <c r="W17"/>
  <c r="W20"/>
  <c r="W21"/>
  <c r="W22"/>
  <c r="W23"/>
  <c r="W24"/>
  <c r="W25"/>
  <c r="W26"/>
  <c r="W27"/>
  <c r="W29"/>
  <c r="W30"/>
  <c r="W31"/>
  <c r="W34"/>
  <c r="W35"/>
  <c r="W36"/>
  <c r="X36" s="1"/>
  <c r="W40"/>
  <c r="W41"/>
  <c r="W42"/>
  <c r="W47"/>
  <c r="X47" s="1"/>
  <c r="W49"/>
  <c r="W50"/>
  <c r="W56"/>
  <c r="W57"/>
  <c r="W58"/>
  <c r="W59"/>
  <c r="W60"/>
  <c r="W61"/>
  <c r="W63"/>
  <c r="W64"/>
  <c r="W65"/>
  <c r="W66"/>
  <c r="W68"/>
  <c r="W69"/>
  <c r="X69" s="1"/>
  <c r="W70"/>
  <c r="W71"/>
  <c r="X71" s="1"/>
  <c r="W72"/>
  <c r="W74"/>
  <c r="W75"/>
  <c r="W76"/>
  <c r="W77"/>
  <c r="W78"/>
  <c r="W79"/>
  <c r="W80"/>
  <c r="W81"/>
  <c r="W82"/>
  <c r="W84"/>
  <c r="W83" s="1"/>
  <c r="W86"/>
  <c r="W87"/>
  <c r="W88"/>
  <c r="W14"/>
  <c r="W13"/>
  <c r="V17"/>
  <c r="V32"/>
  <c r="V31" s="1"/>
  <c r="V34"/>
  <c r="V35"/>
  <c r="V36"/>
  <c r="V37"/>
  <c r="V38"/>
  <c r="V45"/>
  <c r="V46"/>
  <c r="V47"/>
  <c r="V48"/>
  <c r="V49"/>
  <c r="X49" s="1"/>
  <c r="V50"/>
  <c r="V53"/>
  <c r="V54"/>
  <c r="V59"/>
  <c r="X59" s="1"/>
  <c r="V60"/>
  <c r="V63"/>
  <c r="V64"/>
  <c r="V65"/>
  <c r="X65" s="1"/>
  <c r="V66"/>
  <c r="V68"/>
  <c r="V69"/>
  <c r="V70"/>
  <c r="V71"/>
  <c r="V72"/>
  <c r="V74"/>
  <c r="V75"/>
  <c r="X75" s="1"/>
  <c r="V76"/>
  <c r="V77"/>
  <c r="V78"/>
  <c r="V79"/>
  <c r="X79" s="1"/>
  <c r="V80"/>
  <c r="V81"/>
  <c r="V82"/>
  <c r="V84"/>
  <c r="V83" s="1"/>
  <c r="V86"/>
  <c r="V87"/>
  <c r="V88"/>
  <c r="BN98"/>
  <c r="BN97"/>
  <c r="BN96"/>
  <c r="M93"/>
  <c r="AZ88"/>
  <c r="T88"/>
  <c r="R88"/>
  <c r="J88"/>
  <c r="A88"/>
  <c r="BD88" s="1"/>
  <c r="AZ87"/>
  <c r="R87"/>
  <c r="J87"/>
  <c r="A87"/>
  <c r="BB87" s="1"/>
  <c r="AZ86"/>
  <c r="R86"/>
  <c r="R85" s="1"/>
  <c r="J86"/>
  <c r="A86"/>
  <c r="BB86" s="1"/>
  <c r="AZ85"/>
  <c r="T85"/>
  <c r="J85"/>
  <c r="K85" s="1"/>
  <c r="A85" s="1"/>
  <c r="AZ84"/>
  <c r="T84"/>
  <c r="R84"/>
  <c r="R83" s="1"/>
  <c r="J84"/>
  <c r="A84"/>
  <c r="BB84" s="1"/>
  <c r="AZ83"/>
  <c r="T83"/>
  <c r="J83"/>
  <c r="K83" s="1"/>
  <c r="A83" s="1"/>
  <c r="AZ82"/>
  <c r="T82"/>
  <c r="R82"/>
  <c r="J82"/>
  <c r="A82"/>
  <c r="BB82" s="1"/>
  <c r="AZ81"/>
  <c r="T81"/>
  <c r="R81"/>
  <c r="J81"/>
  <c r="A81"/>
  <c r="BD81" s="1"/>
  <c r="AZ80"/>
  <c r="T80"/>
  <c r="R80"/>
  <c r="J80"/>
  <c r="A80"/>
  <c r="BD80" s="1"/>
  <c r="AZ79"/>
  <c r="T79"/>
  <c r="R79"/>
  <c r="J79"/>
  <c r="A79"/>
  <c r="H79" s="1"/>
  <c r="AZ78"/>
  <c r="T78"/>
  <c r="R78"/>
  <c r="J78"/>
  <c r="A78"/>
  <c r="BB78" s="1"/>
  <c r="AZ77"/>
  <c r="X77"/>
  <c r="T77"/>
  <c r="R77"/>
  <c r="J77"/>
  <c r="A77"/>
  <c r="BD77" s="1"/>
  <c r="AZ76"/>
  <c r="T76"/>
  <c r="R76"/>
  <c r="J76"/>
  <c r="A76"/>
  <c r="BD76" s="1"/>
  <c r="AZ75"/>
  <c r="T75"/>
  <c r="R75"/>
  <c r="J75"/>
  <c r="A75"/>
  <c r="H75" s="1"/>
  <c r="AZ74"/>
  <c r="X74"/>
  <c r="T74"/>
  <c r="R74"/>
  <c r="J74"/>
  <c r="A74"/>
  <c r="BB74" s="1"/>
  <c r="AZ73"/>
  <c r="T73"/>
  <c r="J73"/>
  <c r="K73" s="1"/>
  <c r="A73" s="1"/>
  <c r="AZ72"/>
  <c r="X72"/>
  <c r="T72"/>
  <c r="R72"/>
  <c r="J72"/>
  <c r="A72"/>
  <c r="BB72" s="1"/>
  <c r="AZ71"/>
  <c r="T71"/>
  <c r="R71"/>
  <c r="J71"/>
  <c r="A71"/>
  <c r="BD71" s="1"/>
  <c r="AZ70"/>
  <c r="T70"/>
  <c r="R70"/>
  <c r="J70"/>
  <c r="A70"/>
  <c r="BD70" s="1"/>
  <c r="AZ69"/>
  <c r="T69"/>
  <c r="R69"/>
  <c r="J69"/>
  <c r="A69"/>
  <c r="H69" s="1"/>
  <c r="AZ68"/>
  <c r="X68"/>
  <c r="T68"/>
  <c r="R68"/>
  <c r="J68"/>
  <c r="A68"/>
  <c r="BB68" s="1"/>
  <c r="AZ67"/>
  <c r="T67"/>
  <c r="J67"/>
  <c r="K67" s="1"/>
  <c r="A67" s="1"/>
  <c r="AZ66"/>
  <c r="X66"/>
  <c r="T66"/>
  <c r="R66"/>
  <c r="J66"/>
  <c r="A66"/>
  <c r="BB66" s="1"/>
  <c r="AZ65"/>
  <c r="T65"/>
  <c r="R65"/>
  <c r="J65"/>
  <c r="A65"/>
  <c r="AZ64"/>
  <c r="T64"/>
  <c r="R64"/>
  <c r="J64"/>
  <c r="A64"/>
  <c r="BD64" s="1"/>
  <c r="AZ63"/>
  <c r="X63"/>
  <c r="R63"/>
  <c r="J63"/>
  <c r="A63"/>
  <c r="H63" s="1"/>
  <c r="AZ62"/>
  <c r="T62"/>
  <c r="J62"/>
  <c r="K62" s="1"/>
  <c r="A62" s="1"/>
  <c r="BB61"/>
  <c r="AZ61"/>
  <c r="R61"/>
  <c r="Q61"/>
  <c r="J61"/>
  <c r="A61"/>
  <c r="H61" s="1"/>
  <c r="AZ60"/>
  <c r="X60"/>
  <c r="T60"/>
  <c r="R60"/>
  <c r="J60"/>
  <c r="A60"/>
  <c r="BB60" s="1"/>
  <c r="AZ59"/>
  <c r="T59"/>
  <c r="R59"/>
  <c r="J59"/>
  <c r="A59"/>
  <c r="AZ58"/>
  <c r="R58"/>
  <c r="V58" s="1"/>
  <c r="X58" s="1"/>
  <c r="J58"/>
  <c r="A58"/>
  <c r="BD58" s="1"/>
  <c r="AZ57"/>
  <c r="R57"/>
  <c r="J57"/>
  <c r="A57"/>
  <c r="H57" s="1"/>
  <c r="AZ56"/>
  <c r="R56"/>
  <c r="J56"/>
  <c r="A56"/>
  <c r="BB56" s="1"/>
  <c r="AZ55"/>
  <c r="T55"/>
  <c r="J55"/>
  <c r="K55" s="1"/>
  <c r="A55" s="1"/>
  <c r="AZ54"/>
  <c r="X54"/>
  <c r="R54"/>
  <c r="J54"/>
  <c r="A54"/>
  <c r="BD54" s="1"/>
  <c r="AZ53"/>
  <c r="X53"/>
  <c r="R53"/>
  <c r="J53"/>
  <c r="A53"/>
  <c r="H53" s="1"/>
  <c r="AZ52"/>
  <c r="T52"/>
  <c r="J52"/>
  <c r="K52" s="1"/>
  <c r="A52" s="1"/>
  <c r="AZ51"/>
  <c r="T51"/>
  <c r="J51"/>
  <c r="K51" s="1"/>
  <c r="A51" s="1"/>
  <c r="AZ50"/>
  <c r="X50"/>
  <c r="T50"/>
  <c r="R50"/>
  <c r="J50"/>
  <c r="A50"/>
  <c r="I50" s="1"/>
  <c r="AZ49"/>
  <c r="R49"/>
  <c r="J49"/>
  <c r="A49"/>
  <c r="I49" s="1"/>
  <c r="AZ48"/>
  <c r="R48"/>
  <c r="W48" s="1"/>
  <c r="X48" s="1"/>
  <c r="J48"/>
  <c r="A48"/>
  <c r="BD48" s="1"/>
  <c r="AZ47"/>
  <c r="R47"/>
  <c r="J47"/>
  <c r="A47"/>
  <c r="B47" s="1"/>
  <c r="AZ46"/>
  <c r="R46"/>
  <c r="W46" s="1"/>
  <c r="X46" s="1"/>
  <c r="J46"/>
  <c r="A46"/>
  <c r="I46" s="1"/>
  <c r="AZ45"/>
  <c r="R45"/>
  <c r="J45"/>
  <c r="A45"/>
  <c r="H45" s="1"/>
  <c r="AZ44"/>
  <c r="T44"/>
  <c r="J44"/>
  <c r="K44" s="1"/>
  <c r="A44" s="1"/>
  <c r="AZ43"/>
  <c r="T43"/>
  <c r="J43"/>
  <c r="K43" s="1"/>
  <c r="A43" s="1"/>
  <c r="AZ42"/>
  <c r="R42"/>
  <c r="V42" s="1"/>
  <c r="J42"/>
  <c r="H42"/>
  <c r="B42"/>
  <c r="A42"/>
  <c r="BB42" s="1"/>
  <c r="AZ41"/>
  <c r="R41"/>
  <c r="J41"/>
  <c r="A41"/>
  <c r="BD41" s="1"/>
  <c r="AZ40"/>
  <c r="R40"/>
  <c r="V40" s="1"/>
  <c r="J40"/>
  <c r="A40"/>
  <c r="BD40" s="1"/>
  <c r="AZ39"/>
  <c r="T39"/>
  <c r="J39"/>
  <c r="K39" s="1"/>
  <c r="A39" s="1"/>
  <c r="BB39" s="1"/>
  <c r="AZ38"/>
  <c r="R38"/>
  <c r="W38" s="1"/>
  <c r="X38" s="1"/>
  <c r="J38"/>
  <c r="A38"/>
  <c r="BD38" s="1"/>
  <c r="AZ37"/>
  <c r="R37"/>
  <c r="W37" s="1"/>
  <c r="J37"/>
  <c r="A37"/>
  <c r="H37" s="1"/>
  <c r="AZ36"/>
  <c r="T36"/>
  <c r="R36"/>
  <c r="J36"/>
  <c r="A36"/>
  <c r="BD36" s="1"/>
  <c r="AZ35"/>
  <c r="X35"/>
  <c r="T35"/>
  <c r="R35"/>
  <c r="J35"/>
  <c r="A35"/>
  <c r="BD35" s="1"/>
  <c r="AZ34"/>
  <c r="X34"/>
  <c r="T34"/>
  <c r="R34"/>
  <c r="J34"/>
  <c r="A34"/>
  <c r="BD34" s="1"/>
  <c r="AZ33"/>
  <c r="T33"/>
  <c r="J33"/>
  <c r="K33" s="1"/>
  <c r="A33" s="1"/>
  <c r="BB33" s="1"/>
  <c r="AZ32"/>
  <c r="X32"/>
  <c r="R32"/>
  <c r="R31" s="1"/>
  <c r="J32"/>
  <c r="A32"/>
  <c r="BD32" s="1"/>
  <c r="AZ31"/>
  <c r="T31"/>
  <c r="J31"/>
  <c r="K31" s="1"/>
  <c r="A31" s="1"/>
  <c r="AZ30"/>
  <c r="R30"/>
  <c r="J30"/>
  <c r="A30"/>
  <c r="BD30" s="1"/>
  <c r="AZ29"/>
  <c r="R29"/>
  <c r="V29" s="1"/>
  <c r="J29"/>
  <c r="A29"/>
  <c r="BB29" s="1"/>
  <c r="AZ28"/>
  <c r="T28"/>
  <c r="J28"/>
  <c r="K28" s="1"/>
  <c r="A28" s="1"/>
  <c r="AZ27"/>
  <c r="R27"/>
  <c r="J27"/>
  <c r="A27"/>
  <c r="BB27" s="1"/>
  <c r="AZ26"/>
  <c r="R26"/>
  <c r="V26" s="1"/>
  <c r="X26" s="1"/>
  <c r="J26"/>
  <c r="A26"/>
  <c r="BD26" s="1"/>
  <c r="AZ25"/>
  <c r="R25"/>
  <c r="J25"/>
  <c r="A25"/>
  <c r="AZ24"/>
  <c r="R24"/>
  <c r="J24"/>
  <c r="A24"/>
  <c r="BD24" s="1"/>
  <c r="AZ23"/>
  <c r="R23"/>
  <c r="J23"/>
  <c r="A23"/>
  <c r="AZ22"/>
  <c r="R22"/>
  <c r="V22" s="1"/>
  <c r="J22"/>
  <c r="A22"/>
  <c r="BD22" s="1"/>
  <c r="AZ21"/>
  <c r="R21"/>
  <c r="J21"/>
  <c r="A21"/>
  <c r="BB21" s="1"/>
  <c r="AZ20"/>
  <c r="R20"/>
  <c r="V20" s="1"/>
  <c r="J20"/>
  <c r="A20"/>
  <c r="BD20" s="1"/>
  <c r="AZ19"/>
  <c r="T19"/>
  <c r="J19"/>
  <c r="K19" s="1"/>
  <c r="A19" s="1"/>
  <c r="AZ18"/>
  <c r="T18"/>
  <c r="J18"/>
  <c r="K18" s="1"/>
  <c r="A18" s="1"/>
  <c r="AZ17"/>
  <c r="X17"/>
  <c r="T17"/>
  <c r="R17"/>
  <c r="J17"/>
  <c r="A17"/>
  <c r="BD17" s="1"/>
  <c r="AZ16"/>
  <c r="R16"/>
  <c r="V16" s="1"/>
  <c r="J16"/>
  <c r="A16"/>
  <c r="I16" s="1"/>
  <c r="AZ15"/>
  <c r="T15"/>
  <c r="R15"/>
  <c r="J15"/>
  <c r="K15" s="1"/>
  <c r="A15" s="1"/>
  <c r="AZ14"/>
  <c r="R14"/>
  <c r="V14" s="1"/>
  <c r="X14" s="1"/>
  <c r="J14"/>
  <c r="A14"/>
  <c r="I14" s="1"/>
  <c r="AZ13"/>
  <c r="R13"/>
  <c r="R12" s="1"/>
  <c r="J13"/>
  <c r="A13"/>
  <c r="H13" s="1"/>
  <c r="AZ12"/>
  <c r="J12"/>
  <c r="A12"/>
  <c r="D12" s="1"/>
  <c r="BM11"/>
  <c r="BL11"/>
  <c r="AO11"/>
  <c r="AC11"/>
  <c r="BN10"/>
  <c r="BK10"/>
  <c r="BH10"/>
  <c r="AA10"/>
  <c r="AB10" s="1"/>
  <c r="AC10" s="1"/>
  <c r="AD10" s="1"/>
  <c r="AE10" s="1"/>
  <c r="AF10" s="1"/>
  <c r="AG10" s="1"/>
  <c r="AH10" s="1"/>
  <c r="AI10" s="1"/>
  <c r="AJ10" s="1"/>
  <c r="AK10" s="1"/>
  <c r="AL10" s="1"/>
  <c r="AM10" s="1"/>
  <c r="AN10" s="1"/>
  <c r="AO10" s="1"/>
  <c r="AP10" s="1"/>
  <c r="AQ10" s="1"/>
  <c r="AR10" s="1"/>
  <c r="AS10" s="1"/>
  <c r="AT10" s="1"/>
  <c r="AU10" s="1"/>
  <c r="AV10" s="1"/>
  <c r="AW10" s="1"/>
  <c r="AY9"/>
  <c r="S9"/>
  <c r="I8"/>
  <c r="BD7"/>
  <c r="AZ1"/>
  <c r="J1"/>
  <c r="K1" s="1"/>
  <c r="A1" s="1"/>
  <c r="V85" i="3"/>
  <c r="V83"/>
  <c r="V73"/>
  <c r="V67"/>
  <c r="V62"/>
  <c r="V55"/>
  <c r="V52"/>
  <c r="V44"/>
  <c r="V43" s="1"/>
  <c r="V39"/>
  <c r="V33"/>
  <c r="V31"/>
  <c r="V28"/>
  <c r="V19"/>
  <c r="V15"/>
  <c r="V12"/>
  <c r="W17"/>
  <c r="X17" s="1"/>
  <c r="W32"/>
  <c r="X32" s="1"/>
  <c r="W34"/>
  <c r="X34" s="1"/>
  <c r="W35"/>
  <c r="X35" s="1"/>
  <c r="W36"/>
  <c r="X36" s="1"/>
  <c r="W37"/>
  <c r="X37" s="1"/>
  <c r="W38"/>
  <c r="X38" s="1"/>
  <c r="W45"/>
  <c r="X45" s="1"/>
  <c r="W46"/>
  <c r="X46" s="1"/>
  <c r="W47"/>
  <c r="X47" s="1"/>
  <c r="W48"/>
  <c r="X48" s="1"/>
  <c r="W49"/>
  <c r="X49" s="1"/>
  <c r="W50"/>
  <c r="X50" s="1"/>
  <c r="W53"/>
  <c r="X53" s="1"/>
  <c r="W54"/>
  <c r="X54" s="1"/>
  <c r="W59"/>
  <c r="X59" s="1"/>
  <c r="W60"/>
  <c r="X60" s="1"/>
  <c r="W63"/>
  <c r="W64"/>
  <c r="X64" s="1"/>
  <c r="W65"/>
  <c r="X65" s="1"/>
  <c r="W66"/>
  <c r="X66" s="1"/>
  <c r="W68"/>
  <c r="X68" s="1"/>
  <c r="W69"/>
  <c r="X69" s="1"/>
  <c r="W70"/>
  <c r="X70" s="1"/>
  <c r="W71"/>
  <c r="X71" s="1"/>
  <c r="W72"/>
  <c r="X72" s="1"/>
  <c r="W74"/>
  <c r="X74" s="1"/>
  <c r="W75"/>
  <c r="X75" s="1"/>
  <c r="W76"/>
  <c r="X76" s="1"/>
  <c r="W77"/>
  <c r="X77" s="1"/>
  <c r="W78"/>
  <c r="X78" s="1"/>
  <c r="W79"/>
  <c r="X79" s="1"/>
  <c r="W80"/>
  <c r="X80" s="1"/>
  <c r="W81"/>
  <c r="X81" s="1"/>
  <c r="W82"/>
  <c r="X82" s="1"/>
  <c r="W84"/>
  <c r="W83" s="1"/>
  <c r="W86"/>
  <c r="X86" s="1"/>
  <c r="W87"/>
  <c r="X87" s="1"/>
  <c r="W88"/>
  <c r="X88" s="1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14"/>
  <c r="T13"/>
  <c r="BN98"/>
  <c r="BN97"/>
  <c r="BN96"/>
  <c r="M93"/>
  <c r="AZ88"/>
  <c r="R88"/>
  <c r="J88"/>
  <c r="BC21" i="5" l="1"/>
  <c r="BR21"/>
  <c r="BK21" s="1"/>
  <c r="BF53" i="6"/>
  <c r="BR68" i="5"/>
  <c r="BK68" s="1"/>
  <c r="BH68" s="1"/>
  <c r="B48" i="4"/>
  <c r="W28"/>
  <c r="Q22" i="5"/>
  <c r="R50"/>
  <c r="B20" i="4"/>
  <c r="B34"/>
  <c r="H48"/>
  <c r="BB48"/>
  <c r="BC48" s="1"/>
  <c r="R52"/>
  <c r="B54"/>
  <c r="T25" i="5"/>
  <c r="Q69"/>
  <c r="B24" i="4"/>
  <c r="B30"/>
  <c r="H54"/>
  <c r="B84"/>
  <c r="X84"/>
  <c r="X86"/>
  <c r="W39"/>
  <c r="W15"/>
  <c r="Q92" i="5"/>
  <c r="BF56" i="6"/>
  <c r="BH56"/>
  <c r="BI56"/>
  <c r="H58" i="4"/>
  <c r="B68"/>
  <c r="BB69"/>
  <c r="H80"/>
  <c r="B38"/>
  <c r="B22"/>
  <c r="BB22"/>
  <c r="BC22" s="1"/>
  <c r="Q27"/>
  <c r="H34"/>
  <c r="H38"/>
  <c r="X81"/>
  <c r="B40"/>
  <c r="H86"/>
  <c r="V33"/>
  <c r="X76"/>
  <c r="H20"/>
  <c r="B26"/>
  <c r="B32"/>
  <c r="Q37"/>
  <c r="R39"/>
  <c r="W55"/>
  <c r="W19"/>
  <c r="W18" s="1"/>
  <c r="H26"/>
  <c r="R33"/>
  <c r="BB36"/>
  <c r="B56"/>
  <c r="H64"/>
  <c r="B70"/>
  <c r="B78"/>
  <c r="Q79"/>
  <c r="V85"/>
  <c r="V73"/>
  <c r="V62"/>
  <c r="W73"/>
  <c r="X70"/>
  <c r="BD27"/>
  <c r="H46"/>
  <c r="H78"/>
  <c r="B82"/>
  <c r="V67"/>
  <c r="V52"/>
  <c r="V44"/>
  <c r="V43" s="1"/>
  <c r="X50" i="6"/>
  <c r="BR50" s="1"/>
  <c r="V18"/>
  <c r="X18" s="1"/>
  <c r="B36" i="4"/>
  <c r="BB37"/>
  <c r="R44"/>
  <c r="R43" s="1"/>
  <c r="H49"/>
  <c r="W67"/>
  <c r="W62"/>
  <c r="BC27" i="5"/>
  <c r="BF60"/>
  <c r="BK55"/>
  <c r="BN66"/>
  <c r="BC81"/>
  <c r="BK88"/>
  <c r="BI88" s="1"/>
  <c r="BC48"/>
  <c r="BI60"/>
  <c r="BR81"/>
  <c r="BK81" s="1"/>
  <c r="BC42"/>
  <c r="BN29"/>
  <c r="BC75"/>
  <c r="BC84"/>
  <c r="BC87"/>
  <c r="BC91"/>
  <c r="BK61"/>
  <c r="BI61" s="1"/>
  <c r="BR36"/>
  <c r="BK36" s="1"/>
  <c r="BI80" i="6"/>
  <c r="BR44" i="5"/>
  <c r="BN44" s="1"/>
  <c r="BR87"/>
  <c r="BC89"/>
  <c r="BK76"/>
  <c r="BH76" s="1"/>
  <c r="BC77"/>
  <c r="BR84"/>
  <c r="BK84" s="1"/>
  <c r="BC39"/>
  <c r="BR39"/>
  <c r="BN21"/>
  <c r="BR56"/>
  <c r="BN56" s="1"/>
  <c r="BR91"/>
  <c r="BF80" i="6"/>
  <c r="BH25"/>
  <c r="BF25"/>
  <c r="BC19" i="5"/>
  <c r="BI94" i="6"/>
  <c r="BF94"/>
  <c r="BH94"/>
  <c r="BH20"/>
  <c r="BI20"/>
  <c r="BF20"/>
  <c r="BF90"/>
  <c r="BH90"/>
  <c r="BI90"/>
  <c r="BF37"/>
  <c r="BH37"/>
  <c r="BI37"/>
  <c r="BF68"/>
  <c r="BH68"/>
  <c r="BI68"/>
  <c r="BF46"/>
  <c r="BH46"/>
  <c r="BI46"/>
  <c r="BH84"/>
  <c r="BI84"/>
  <c r="BF84"/>
  <c r="BH89"/>
  <c r="BI89"/>
  <c r="BF89"/>
  <c r="BH26"/>
  <c r="BI26"/>
  <c r="BF26"/>
  <c r="BI74"/>
  <c r="BF74"/>
  <c r="BH74"/>
  <c r="BF38"/>
  <c r="BH38"/>
  <c r="BI38"/>
  <c r="BH21"/>
  <c r="BI21"/>
  <c r="BF21"/>
  <c r="BH19"/>
  <c r="BI19"/>
  <c r="BF19"/>
  <c r="BH86"/>
  <c r="BI86"/>
  <c r="BF86"/>
  <c r="D29"/>
  <c r="BF63"/>
  <c r="BH63"/>
  <c r="BI63"/>
  <c r="D61"/>
  <c r="D62" s="1"/>
  <c r="BH60"/>
  <c r="BI60"/>
  <c r="BF60"/>
  <c r="BF64"/>
  <c r="BH64"/>
  <c r="BI64"/>
  <c r="BF65"/>
  <c r="BH65"/>
  <c r="BI65"/>
  <c r="BF66"/>
  <c r="BH66"/>
  <c r="BI66"/>
  <c r="BF67"/>
  <c r="BH67"/>
  <c r="BI67"/>
  <c r="BH83"/>
  <c r="BI83"/>
  <c r="BF83"/>
  <c r="C27"/>
  <c r="BF36"/>
  <c r="BH36"/>
  <c r="BI36"/>
  <c r="BH88"/>
  <c r="BI88"/>
  <c r="BF88"/>
  <c r="BH61"/>
  <c r="BI61"/>
  <c r="BF61"/>
  <c r="BF92"/>
  <c r="BH92"/>
  <c r="BI92"/>
  <c r="BF69"/>
  <c r="BH69"/>
  <c r="BI69"/>
  <c r="BH85"/>
  <c r="BI85"/>
  <c r="BF85"/>
  <c r="BI95"/>
  <c r="BF95"/>
  <c r="BH95"/>
  <c r="BH87"/>
  <c r="BI87"/>
  <c r="BF87"/>
  <c r="BN54" i="5"/>
  <c r="BN85"/>
  <c r="BC47"/>
  <c r="BR47"/>
  <c r="BN47" s="1"/>
  <c r="BC79"/>
  <c r="BC34"/>
  <c r="BK75"/>
  <c r="BH75" s="1"/>
  <c r="BI54"/>
  <c r="W58"/>
  <c r="W18" s="1"/>
  <c r="BR43"/>
  <c r="BK43" s="1"/>
  <c r="BK89"/>
  <c r="BH89" s="1"/>
  <c r="BN89"/>
  <c r="BK42"/>
  <c r="BF42" s="1"/>
  <c r="BN42"/>
  <c r="BK31"/>
  <c r="BI31" s="1"/>
  <c r="BN31"/>
  <c r="BN49"/>
  <c r="BK49"/>
  <c r="BI49" s="1"/>
  <c r="BK83"/>
  <c r="BN83"/>
  <c r="BN77"/>
  <c r="BK77"/>
  <c r="BF77" s="1"/>
  <c r="R58"/>
  <c r="V62"/>
  <c r="U46"/>
  <c r="V46"/>
  <c r="X46" s="1"/>
  <c r="BR46" s="1"/>
  <c r="BR90"/>
  <c r="BN90" s="1"/>
  <c r="BK24"/>
  <c r="BI24" s="1"/>
  <c r="Q26"/>
  <c r="Q80"/>
  <c r="V80"/>
  <c r="X80" s="1"/>
  <c r="BR86"/>
  <c r="Q40"/>
  <c r="V40"/>
  <c r="X40" s="1"/>
  <c r="BR40" s="1"/>
  <c r="BK40" s="1"/>
  <c r="V59"/>
  <c r="X59" s="1"/>
  <c r="BR59" s="1"/>
  <c r="Q59"/>
  <c r="BC36"/>
  <c r="Q74"/>
  <c r="V74"/>
  <c r="X74" s="1"/>
  <c r="BR74" s="1"/>
  <c r="U35"/>
  <c r="V35"/>
  <c r="X35" s="1"/>
  <c r="BR35" s="1"/>
  <c r="BN35" s="1"/>
  <c r="BR95"/>
  <c r="BN95" s="1"/>
  <c r="BR38" i="4"/>
  <c r="BK38" s="1"/>
  <c r="BC45" i="5"/>
  <c r="BN52"/>
  <c r="BR38"/>
  <c r="BN38" s="1"/>
  <c r="BR26"/>
  <c r="BK26" s="1"/>
  <c r="BR22"/>
  <c r="BK22" s="1"/>
  <c r="BC62"/>
  <c r="C24"/>
  <c r="C25" s="1"/>
  <c r="BK71"/>
  <c r="BN71"/>
  <c r="D64"/>
  <c r="D65" s="1"/>
  <c r="D66" s="1"/>
  <c r="D67" s="1"/>
  <c r="D68" s="1"/>
  <c r="BR26" i="4"/>
  <c r="BK26" s="1"/>
  <c r="BH26" s="1"/>
  <c r="BC65" i="5"/>
  <c r="BR65"/>
  <c r="BK78"/>
  <c r="BN78"/>
  <c r="BK23"/>
  <c r="BN23"/>
  <c r="BI21"/>
  <c r="BH21"/>
  <c r="BF21"/>
  <c r="BC46"/>
  <c r="I19"/>
  <c r="D53"/>
  <c r="D54" s="1"/>
  <c r="D55" s="1"/>
  <c r="D56" s="1"/>
  <c r="D57" s="1"/>
  <c r="R25"/>
  <c r="V25" s="1"/>
  <c r="X25" s="1"/>
  <c r="BR25" s="1"/>
  <c r="BK25" s="1"/>
  <c r="BK33"/>
  <c r="BN33"/>
  <c r="Q35"/>
  <c r="BC35"/>
  <c r="BR48" i="4"/>
  <c r="BN48" s="1"/>
  <c r="BR79" i="5"/>
  <c r="BC95"/>
  <c r="BI89"/>
  <c r="BN82"/>
  <c r="BK82"/>
  <c r="U74"/>
  <c r="BF76"/>
  <c r="BR63"/>
  <c r="BC73"/>
  <c r="BR73"/>
  <c r="BC69"/>
  <c r="Q62"/>
  <c r="BN57"/>
  <c r="BK57"/>
  <c r="BI55"/>
  <c r="BH55"/>
  <c r="BF55"/>
  <c r="BC30"/>
  <c r="BC57"/>
  <c r="X51"/>
  <c r="BR51" s="1"/>
  <c r="BR45"/>
  <c r="BR34"/>
  <c r="BC20"/>
  <c r="BD18"/>
  <c r="X19"/>
  <c r="BR19" s="1"/>
  <c r="BR69"/>
  <c r="BC58"/>
  <c r="BR41"/>
  <c r="BF61"/>
  <c r="U40"/>
  <c r="BR27"/>
  <c r="BC22"/>
  <c r="BR20"/>
  <c r="BF24"/>
  <c r="BH24"/>
  <c r="BR30"/>
  <c r="BC26"/>
  <c r="BK93"/>
  <c r="BN93"/>
  <c r="BN64"/>
  <c r="BK64"/>
  <c r="BI52"/>
  <c r="BH52"/>
  <c r="BF52"/>
  <c r="BK47"/>
  <c r="BN39"/>
  <c r="BK39"/>
  <c r="BC25"/>
  <c r="BR36" i="4"/>
  <c r="BK36" s="1"/>
  <c r="BN94" i="5"/>
  <c r="BK94"/>
  <c r="BC92"/>
  <c r="BC74"/>
  <c r="BK67"/>
  <c r="BN67"/>
  <c r="I59"/>
  <c r="BI66"/>
  <c r="BH66"/>
  <c r="BF66"/>
  <c r="X92"/>
  <c r="BR92" s="1"/>
  <c r="BC90"/>
  <c r="BK72"/>
  <c r="BN72"/>
  <c r="BC71"/>
  <c r="BC80"/>
  <c r="BC72"/>
  <c r="BR80"/>
  <c r="BF85"/>
  <c r="BI85"/>
  <c r="BH85"/>
  <c r="BK53"/>
  <c r="BN53"/>
  <c r="BR48"/>
  <c r="BR28"/>
  <c r="D28"/>
  <c r="D29" s="1"/>
  <c r="D30" s="1"/>
  <c r="D31" s="1"/>
  <c r="D32" s="1"/>
  <c r="D33" s="1"/>
  <c r="D34" s="1"/>
  <c r="D35" s="1"/>
  <c r="BC51"/>
  <c r="BC38"/>
  <c r="Q19"/>
  <c r="BR70"/>
  <c r="BC37"/>
  <c r="BI68"/>
  <c r="BC43"/>
  <c r="BR32"/>
  <c r="S19"/>
  <c r="BR37"/>
  <c r="BH29"/>
  <c r="BI29"/>
  <c r="BF29"/>
  <c r="U26"/>
  <c r="X20" i="4"/>
  <c r="BD18"/>
  <c r="F18"/>
  <c r="V15"/>
  <c r="X15" s="1"/>
  <c r="X16"/>
  <c r="G51"/>
  <c r="BD51"/>
  <c r="W33"/>
  <c r="X33" s="1"/>
  <c r="X37"/>
  <c r="BD14"/>
  <c r="BR14" s="1"/>
  <c r="Q21"/>
  <c r="BD21"/>
  <c r="BC21" s="1"/>
  <c r="Q29"/>
  <c r="BD29"/>
  <c r="BC29" s="1"/>
  <c r="I47"/>
  <c r="Q57"/>
  <c r="Q58"/>
  <c r="BB58"/>
  <c r="BC58" s="1"/>
  <c r="Q64"/>
  <c r="BB64"/>
  <c r="BC64" s="1"/>
  <c r="R67"/>
  <c r="BR71"/>
  <c r="BN71" s="1"/>
  <c r="H72"/>
  <c r="H74"/>
  <c r="Q75"/>
  <c r="H76"/>
  <c r="Q80"/>
  <c r="BB80"/>
  <c r="BC80" s="1"/>
  <c r="B88"/>
  <c r="W45"/>
  <c r="X45" s="1"/>
  <c r="B14"/>
  <c r="I17"/>
  <c r="Q22"/>
  <c r="R28"/>
  <c r="BC36"/>
  <c r="Q36"/>
  <c r="B46"/>
  <c r="BD46"/>
  <c r="BR46" s="1"/>
  <c r="BR54"/>
  <c r="BK54" s="1"/>
  <c r="R55"/>
  <c r="B58"/>
  <c r="B60"/>
  <c r="Q62"/>
  <c r="B63"/>
  <c r="B64"/>
  <c r="R62"/>
  <c r="B66"/>
  <c r="H68"/>
  <c r="Q69"/>
  <c r="H70"/>
  <c r="BB75"/>
  <c r="B80"/>
  <c r="H82"/>
  <c r="H84"/>
  <c r="B86"/>
  <c r="H88"/>
  <c r="V41"/>
  <c r="V39" s="1"/>
  <c r="X39" s="1"/>
  <c r="V30"/>
  <c r="X30" s="1"/>
  <c r="V25"/>
  <c r="X25" s="1"/>
  <c r="V21"/>
  <c r="H14"/>
  <c r="X22"/>
  <c r="BR22" s="1"/>
  <c r="BK22" s="1"/>
  <c r="BD47"/>
  <c r="BR47" s="1"/>
  <c r="R51"/>
  <c r="Q76"/>
  <c r="BB76"/>
  <c r="BC76" s="1"/>
  <c r="V13"/>
  <c r="V12" s="1"/>
  <c r="V61"/>
  <c r="X61" s="1"/>
  <c r="V57"/>
  <c r="X57" s="1"/>
  <c r="V24"/>
  <c r="X24" s="1"/>
  <c r="BR24" s="1"/>
  <c r="BR70"/>
  <c r="BK70" s="1"/>
  <c r="W51"/>
  <c r="V51" i="3"/>
  <c r="H22" i="4"/>
  <c r="H24"/>
  <c r="Q26"/>
  <c r="BB26"/>
  <c r="BC26" s="1"/>
  <c r="H30"/>
  <c r="H32"/>
  <c r="H36"/>
  <c r="H40"/>
  <c r="X42"/>
  <c r="Q48"/>
  <c r="BB57"/>
  <c r="Q63"/>
  <c r="BB63"/>
  <c r="Q70"/>
  <c r="BB70"/>
  <c r="BC70" s="1"/>
  <c r="B72"/>
  <c r="B74"/>
  <c r="B76"/>
  <c r="R73"/>
  <c r="BB79"/>
  <c r="V56"/>
  <c r="V27"/>
  <c r="X27" s="1"/>
  <c r="BR27" s="1"/>
  <c r="V23"/>
  <c r="X23" s="1"/>
  <c r="X88"/>
  <c r="W85"/>
  <c r="X87"/>
  <c r="W44"/>
  <c r="W43" s="1"/>
  <c r="X43" s="1"/>
  <c r="X80"/>
  <c r="X82"/>
  <c r="X78"/>
  <c r="U16"/>
  <c r="Q1"/>
  <c r="D1"/>
  <c r="BD1"/>
  <c r="X1"/>
  <c r="G1"/>
  <c r="C1"/>
  <c r="BB1"/>
  <c r="V1"/>
  <c r="R1"/>
  <c r="S1" s="1"/>
  <c r="I1"/>
  <c r="E1"/>
  <c r="F1"/>
  <c r="B1"/>
  <c r="H1"/>
  <c r="Q15"/>
  <c r="D15"/>
  <c r="D16" s="1"/>
  <c r="D17" s="1"/>
  <c r="E15"/>
  <c r="E16" s="1"/>
  <c r="E17" s="1"/>
  <c r="BB15"/>
  <c r="F15"/>
  <c r="F16" s="1"/>
  <c r="F17" s="1"/>
  <c r="G15"/>
  <c r="G16" s="1"/>
  <c r="G17" s="1"/>
  <c r="BD15"/>
  <c r="S15"/>
  <c r="U15" s="1"/>
  <c r="S31"/>
  <c r="U31" s="1"/>
  <c r="F31"/>
  <c r="F32" s="1"/>
  <c r="Q31"/>
  <c r="D31"/>
  <c r="D32" s="1"/>
  <c r="BD31"/>
  <c r="E31"/>
  <c r="E32" s="1"/>
  <c r="G31"/>
  <c r="G32" s="1"/>
  <c r="BB31"/>
  <c r="BR17"/>
  <c r="BB19"/>
  <c r="F19"/>
  <c r="F20" s="1"/>
  <c r="F21" s="1"/>
  <c r="F22" s="1"/>
  <c r="F23" s="1"/>
  <c r="F24" s="1"/>
  <c r="F25" s="1"/>
  <c r="F26" s="1"/>
  <c r="F27" s="1"/>
  <c r="G19"/>
  <c r="G20" s="1"/>
  <c r="G21" s="1"/>
  <c r="G22" s="1"/>
  <c r="G23" s="1"/>
  <c r="G24" s="1"/>
  <c r="G25" s="1"/>
  <c r="G26" s="1"/>
  <c r="G27" s="1"/>
  <c r="BD19"/>
  <c r="E19"/>
  <c r="E20" s="1"/>
  <c r="E21" s="1"/>
  <c r="E22" s="1"/>
  <c r="E23" s="1"/>
  <c r="E24" s="1"/>
  <c r="E25" s="1"/>
  <c r="E26" s="1"/>
  <c r="E27" s="1"/>
  <c r="H23"/>
  <c r="B23"/>
  <c r="B25"/>
  <c r="H25"/>
  <c r="BB28"/>
  <c r="E28"/>
  <c r="E29" s="1"/>
  <c r="E30" s="1"/>
  <c r="BD28"/>
  <c r="G28"/>
  <c r="G29" s="1"/>
  <c r="G30" s="1"/>
  <c r="H29"/>
  <c r="B29"/>
  <c r="X40"/>
  <c r="BR40" s="1"/>
  <c r="BD43"/>
  <c r="BR43" s="1"/>
  <c r="G43"/>
  <c r="Q43"/>
  <c r="D43"/>
  <c r="D44" s="1"/>
  <c r="D45" s="1"/>
  <c r="D46" s="1"/>
  <c r="D47" s="1"/>
  <c r="D48" s="1"/>
  <c r="D49" s="1"/>
  <c r="D50" s="1"/>
  <c r="BB43"/>
  <c r="E43"/>
  <c r="S43"/>
  <c r="U43" s="1"/>
  <c r="F43"/>
  <c r="E12"/>
  <c r="E13" s="1"/>
  <c r="E14" s="1"/>
  <c r="U12"/>
  <c r="BB12"/>
  <c r="BD16"/>
  <c r="BR16" s="1"/>
  <c r="G18"/>
  <c r="BR20"/>
  <c r="I23"/>
  <c r="U23"/>
  <c r="I25"/>
  <c r="U25"/>
  <c r="BC27"/>
  <c r="I29"/>
  <c r="U29"/>
  <c r="BR35"/>
  <c r="B13"/>
  <c r="BB18"/>
  <c r="E18"/>
  <c r="Q55"/>
  <c r="G55"/>
  <c r="G56" s="1"/>
  <c r="G57" s="1"/>
  <c r="G58" s="1"/>
  <c r="G59" s="1"/>
  <c r="G60" s="1"/>
  <c r="G61" s="1"/>
  <c r="BD55"/>
  <c r="S55"/>
  <c r="U55" s="1"/>
  <c r="E55"/>
  <c r="E56" s="1"/>
  <c r="E57" s="1"/>
  <c r="E58" s="1"/>
  <c r="E59" s="1"/>
  <c r="E60" s="1"/>
  <c r="E61" s="1"/>
  <c r="BB55"/>
  <c r="F55"/>
  <c r="F56" s="1"/>
  <c r="F57" s="1"/>
  <c r="F58" s="1"/>
  <c r="F59" s="1"/>
  <c r="F60" s="1"/>
  <c r="F61" s="1"/>
  <c r="S12"/>
  <c r="Q13"/>
  <c r="BB13"/>
  <c r="BB11" s="1"/>
  <c r="AY11" s="1"/>
  <c r="U14"/>
  <c r="S17"/>
  <c r="U17" s="1"/>
  <c r="X29"/>
  <c r="S50"/>
  <c r="U50" s="1"/>
  <c r="S65"/>
  <c r="U65" s="1"/>
  <c r="BB14"/>
  <c r="Q14"/>
  <c r="B21"/>
  <c r="H21"/>
  <c r="H27"/>
  <c r="B27"/>
  <c r="BD52"/>
  <c r="G52"/>
  <c r="G53" s="1"/>
  <c r="G54" s="1"/>
  <c r="E52"/>
  <c r="E53" s="1"/>
  <c r="E54" s="1"/>
  <c r="BB52"/>
  <c r="Q52"/>
  <c r="F52"/>
  <c r="F53" s="1"/>
  <c r="F54" s="1"/>
  <c r="S52"/>
  <c r="U52" s="1"/>
  <c r="C12"/>
  <c r="C13" s="1"/>
  <c r="B16"/>
  <c r="H16"/>
  <c r="B17"/>
  <c r="D18"/>
  <c r="D19" s="1"/>
  <c r="R19"/>
  <c r="R18" s="1"/>
  <c r="I21"/>
  <c r="U21"/>
  <c r="Q23"/>
  <c r="BD23"/>
  <c r="Q25"/>
  <c r="BD25"/>
  <c r="I27"/>
  <c r="U27"/>
  <c r="F28"/>
  <c r="F29" s="1"/>
  <c r="F30" s="1"/>
  <c r="S28"/>
  <c r="U28" s="1"/>
  <c r="BR30"/>
  <c r="BR32"/>
  <c r="S54"/>
  <c r="U54" s="1"/>
  <c r="S51"/>
  <c r="U51" s="1"/>
  <c r="S46"/>
  <c r="U46" s="1"/>
  <c r="U49"/>
  <c r="S47"/>
  <c r="U47" s="1"/>
  <c r="BD12"/>
  <c r="F12"/>
  <c r="F13" s="1"/>
  <c r="F14" s="1"/>
  <c r="BB16"/>
  <c r="Q16"/>
  <c r="H17"/>
  <c r="BD44"/>
  <c r="G44"/>
  <c r="G45" s="1"/>
  <c r="G46" s="1"/>
  <c r="G47" s="1"/>
  <c r="G48" s="1"/>
  <c r="G49" s="1"/>
  <c r="G50" s="1"/>
  <c r="E44"/>
  <c r="E45" s="1"/>
  <c r="E46" s="1"/>
  <c r="E47" s="1"/>
  <c r="E48" s="1"/>
  <c r="E49" s="1"/>
  <c r="E50" s="1"/>
  <c r="BB44"/>
  <c r="F44"/>
  <c r="F45" s="1"/>
  <c r="F46" s="1"/>
  <c r="F47" s="1"/>
  <c r="F48" s="1"/>
  <c r="F49" s="1"/>
  <c r="F50" s="1"/>
  <c r="G12"/>
  <c r="G13" s="1"/>
  <c r="G14" s="1"/>
  <c r="Q12"/>
  <c r="D13"/>
  <c r="D14" s="1"/>
  <c r="I13"/>
  <c r="U13"/>
  <c r="BD13"/>
  <c r="Q17"/>
  <c r="BB17"/>
  <c r="BC17" s="1"/>
  <c r="S18"/>
  <c r="U18" s="1"/>
  <c r="BB23"/>
  <c r="BB25"/>
  <c r="Q28"/>
  <c r="BR34"/>
  <c r="S59"/>
  <c r="U59" s="1"/>
  <c r="BB46"/>
  <c r="Q46"/>
  <c r="H47"/>
  <c r="B49"/>
  <c r="BB54"/>
  <c r="BC54" s="1"/>
  <c r="Q54"/>
  <c r="X64"/>
  <c r="BR64" s="1"/>
  <c r="X62"/>
  <c r="Q20"/>
  <c r="BB20"/>
  <c r="BC20" s="1"/>
  <c r="I22"/>
  <c r="U22"/>
  <c r="Q24"/>
  <c r="BB24"/>
  <c r="BC24" s="1"/>
  <c r="I26"/>
  <c r="U26"/>
  <c r="Q30"/>
  <c r="BB30"/>
  <c r="BC30" s="1"/>
  <c r="Q32"/>
  <c r="BB32"/>
  <c r="BC32" s="1"/>
  <c r="D33"/>
  <c r="D34" s="1"/>
  <c r="D35" s="1"/>
  <c r="D36" s="1"/>
  <c r="D37" s="1"/>
  <c r="D38" s="1"/>
  <c r="Q33"/>
  <c r="Q34"/>
  <c r="BB34"/>
  <c r="BC34" s="1"/>
  <c r="H35"/>
  <c r="I36"/>
  <c r="S36"/>
  <c r="U36" s="1"/>
  <c r="B37"/>
  <c r="Q38"/>
  <c r="BB38"/>
  <c r="BC38" s="1"/>
  <c r="D39"/>
  <c r="D40" s="1"/>
  <c r="D41" s="1"/>
  <c r="D42" s="1"/>
  <c r="Q39"/>
  <c r="Q40"/>
  <c r="BB40"/>
  <c r="BC40" s="1"/>
  <c r="H41"/>
  <c r="I42"/>
  <c r="U42"/>
  <c r="BD42"/>
  <c r="BC42" s="1"/>
  <c r="Q47"/>
  <c r="BB47"/>
  <c r="Q49"/>
  <c r="BB49"/>
  <c r="B50"/>
  <c r="H50"/>
  <c r="BR58"/>
  <c r="BR80"/>
  <c r="BR81"/>
  <c r="BB50"/>
  <c r="Q50"/>
  <c r="Q51"/>
  <c r="D51"/>
  <c r="D52" s="1"/>
  <c r="BD67"/>
  <c r="Q67"/>
  <c r="D67"/>
  <c r="D68" s="1"/>
  <c r="D69" s="1"/>
  <c r="D70" s="1"/>
  <c r="D71" s="1"/>
  <c r="D72" s="1"/>
  <c r="BB67"/>
  <c r="E67"/>
  <c r="E68" s="1"/>
  <c r="E69" s="1"/>
  <c r="E70" s="1"/>
  <c r="E71" s="1"/>
  <c r="E72" s="1"/>
  <c r="S67"/>
  <c r="U67" s="1"/>
  <c r="F67"/>
  <c r="F68" s="1"/>
  <c r="F69" s="1"/>
  <c r="F70" s="1"/>
  <c r="F71" s="1"/>
  <c r="F72" s="1"/>
  <c r="BD83"/>
  <c r="G83"/>
  <c r="G84" s="1"/>
  <c r="Q83"/>
  <c r="D83"/>
  <c r="D84" s="1"/>
  <c r="BB83"/>
  <c r="E83"/>
  <c r="E84" s="1"/>
  <c r="S83"/>
  <c r="U83" s="1"/>
  <c r="F83"/>
  <c r="F84" s="1"/>
  <c r="G33"/>
  <c r="G34" s="1"/>
  <c r="G35" s="1"/>
  <c r="G36" s="1"/>
  <c r="G37" s="1"/>
  <c r="G38" s="1"/>
  <c r="BD33"/>
  <c r="BC33" s="1"/>
  <c r="Q35"/>
  <c r="BB35"/>
  <c r="BC35" s="1"/>
  <c r="I37"/>
  <c r="S37"/>
  <c r="U37" s="1"/>
  <c r="BD37"/>
  <c r="G39"/>
  <c r="G40" s="1"/>
  <c r="G41" s="1"/>
  <c r="G42" s="1"/>
  <c r="BD39"/>
  <c r="BC39" s="1"/>
  <c r="Q41"/>
  <c r="BB41"/>
  <c r="BC41" s="1"/>
  <c r="I45"/>
  <c r="S45"/>
  <c r="U45" s="1"/>
  <c r="BD45"/>
  <c r="BR45" s="1"/>
  <c r="F51"/>
  <c r="BB51"/>
  <c r="I53"/>
  <c r="S53"/>
  <c r="U53" s="1"/>
  <c r="BD53"/>
  <c r="I59"/>
  <c r="BD59"/>
  <c r="BR59" s="1"/>
  <c r="D62"/>
  <c r="D63" s="1"/>
  <c r="D64" s="1"/>
  <c r="D65" s="1"/>
  <c r="D66" s="1"/>
  <c r="I65"/>
  <c r="BD65"/>
  <c r="BR65" s="1"/>
  <c r="BR88"/>
  <c r="BD73"/>
  <c r="G73"/>
  <c r="G74" s="1"/>
  <c r="G75" s="1"/>
  <c r="G76" s="1"/>
  <c r="G77" s="1"/>
  <c r="G78" s="1"/>
  <c r="G79" s="1"/>
  <c r="G80" s="1"/>
  <c r="G81" s="1"/>
  <c r="G82" s="1"/>
  <c r="Q73"/>
  <c r="D73"/>
  <c r="D74" s="1"/>
  <c r="D75" s="1"/>
  <c r="D76" s="1"/>
  <c r="D77" s="1"/>
  <c r="D78" s="1"/>
  <c r="D79" s="1"/>
  <c r="D80" s="1"/>
  <c r="D81" s="1"/>
  <c r="D82" s="1"/>
  <c r="BB73"/>
  <c r="E73"/>
  <c r="E74" s="1"/>
  <c r="E75" s="1"/>
  <c r="E76" s="1"/>
  <c r="E77" s="1"/>
  <c r="E78" s="1"/>
  <c r="E79" s="1"/>
  <c r="E80" s="1"/>
  <c r="E81" s="1"/>
  <c r="E82" s="1"/>
  <c r="S73"/>
  <c r="U73" s="1"/>
  <c r="F73"/>
  <c r="F74" s="1"/>
  <c r="F75" s="1"/>
  <c r="F76" s="1"/>
  <c r="F77" s="1"/>
  <c r="F78" s="1"/>
  <c r="F79" s="1"/>
  <c r="F80" s="1"/>
  <c r="F81" s="1"/>
  <c r="F82" s="1"/>
  <c r="I20"/>
  <c r="U20"/>
  <c r="I24"/>
  <c r="U24"/>
  <c r="I30"/>
  <c r="U30"/>
  <c r="X31"/>
  <c r="I32"/>
  <c r="S32"/>
  <c r="U32" s="1"/>
  <c r="F33"/>
  <c r="F34" s="1"/>
  <c r="F35" s="1"/>
  <c r="F36" s="1"/>
  <c r="F37" s="1"/>
  <c r="F38" s="1"/>
  <c r="S33"/>
  <c r="U33" s="1"/>
  <c r="I34"/>
  <c r="S34"/>
  <c r="U34" s="1"/>
  <c r="B35"/>
  <c r="I38"/>
  <c r="S38"/>
  <c r="U38" s="1"/>
  <c r="F39"/>
  <c r="F40" s="1"/>
  <c r="F41" s="1"/>
  <c r="F42" s="1"/>
  <c r="S39"/>
  <c r="U39" s="1"/>
  <c r="I40"/>
  <c r="U40"/>
  <c r="B41"/>
  <c r="Q42"/>
  <c r="BD49"/>
  <c r="BD50"/>
  <c r="E51"/>
  <c r="I54"/>
  <c r="BR76"/>
  <c r="BR77"/>
  <c r="B45"/>
  <c r="B53"/>
  <c r="B59"/>
  <c r="BB59"/>
  <c r="Q59"/>
  <c r="H59"/>
  <c r="BB62"/>
  <c r="E62"/>
  <c r="E63" s="1"/>
  <c r="E64" s="1"/>
  <c r="E65" s="1"/>
  <c r="E66" s="1"/>
  <c r="S62"/>
  <c r="U62" s="1"/>
  <c r="F62"/>
  <c r="F63" s="1"/>
  <c r="F64" s="1"/>
  <c r="F65" s="1"/>
  <c r="F66" s="1"/>
  <c r="BD62"/>
  <c r="G62"/>
  <c r="G63" s="1"/>
  <c r="G64" s="1"/>
  <c r="G65" s="1"/>
  <c r="G66" s="1"/>
  <c r="B65"/>
  <c r="BB65"/>
  <c r="Q65"/>
  <c r="H65"/>
  <c r="BD85"/>
  <c r="G85"/>
  <c r="G86" s="1"/>
  <c r="G87" s="1"/>
  <c r="G88" s="1"/>
  <c r="Q85"/>
  <c r="D85"/>
  <c r="D86" s="1"/>
  <c r="D87" s="1"/>
  <c r="D88" s="1"/>
  <c r="BB85"/>
  <c r="E85"/>
  <c r="E86" s="1"/>
  <c r="E87" s="1"/>
  <c r="E88" s="1"/>
  <c r="S85"/>
  <c r="U85" s="1"/>
  <c r="F85"/>
  <c r="F86" s="1"/>
  <c r="F87" s="1"/>
  <c r="F88" s="1"/>
  <c r="E33"/>
  <c r="E34" s="1"/>
  <c r="E35" s="1"/>
  <c r="E36" s="1"/>
  <c r="E37" s="1"/>
  <c r="E38" s="1"/>
  <c r="I35"/>
  <c r="S35"/>
  <c r="U35" s="1"/>
  <c r="E39"/>
  <c r="E40" s="1"/>
  <c r="E41" s="1"/>
  <c r="E42" s="1"/>
  <c r="I41"/>
  <c r="U41"/>
  <c r="Q45"/>
  <c r="BB45"/>
  <c r="Q53"/>
  <c r="BB53"/>
  <c r="G67"/>
  <c r="G68" s="1"/>
  <c r="G69" s="1"/>
  <c r="G70" s="1"/>
  <c r="G71" s="1"/>
  <c r="G72" s="1"/>
  <c r="I56"/>
  <c r="U56"/>
  <c r="BD56"/>
  <c r="BC56" s="1"/>
  <c r="B57"/>
  <c r="I60"/>
  <c r="S60"/>
  <c r="U60" s="1"/>
  <c r="BD60"/>
  <c r="BC60" s="1"/>
  <c r="B61"/>
  <c r="I66"/>
  <c r="S66"/>
  <c r="U66" s="1"/>
  <c r="BD66"/>
  <c r="BC66" s="1"/>
  <c r="X67"/>
  <c r="I68"/>
  <c r="S68"/>
  <c r="U68" s="1"/>
  <c r="BD68"/>
  <c r="BC68" s="1"/>
  <c r="B69"/>
  <c r="H71"/>
  <c r="I72"/>
  <c r="S72"/>
  <c r="U72" s="1"/>
  <c r="BD72"/>
  <c r="BC72" s="1"/>
  <c r="X73"/>
  <c r="I74"/>
  <c r="S74"/>
  <c r="U74" s="1"/>
  <c r="BD74"/>
  <c r="BC74" s="1"/>
  <c r="B75"/>
  <c r="H77"/>
  <c r="I78"/>
  <c r="S78"/>
  <c r="U78" s="1"/>
  <c r="BD78"/>
  <c r="BC78" s="1"/>
  <c r="B79"/>
  <c r="H81"/>
  <c r="I82"/>
  <c r="S82"/>
  <c r="U82" s="1"/>
  <c r="BD82"/>
  <c r="BC82" s="1"/>
  <c r="X83"/>
  <c r="I84"/>
  <c r="S84"/>
  <c r="U84" s="1"/>
  <c r="BD84"/>
  <c r="BC84" s="1"/>
  <c r="X85"/>
  <c r="I86"/>
  <c r="U86"/>
  <c r="BD86"/>
  <c r="BC86" s="1"/>
  <c r="B87"/>
  <c r="Q88"/>
  <c r="BB88"/>
  <c r="BC88" s="1"/>
  <c r="H56"/>
  <c r="I57"/>
  <c r="U57"/>
  <c r="BD57"/>
  <c r="H60"/>
  <c r="I61"/>
  <c r="U61"/>
  <c r="BD61"/>
  <c r="BC61" s="1"/>
  <c r="I63"/>
  <c r="U63"/>
  <c r="BD63"/>
  <c r="H66"/>
  <c r="I69"/>
  <c r="S69"/>
  <c r="U69" s="1"/>
  <c r="BD69"/>
  <c r="Q71"/>
  <c r="BB71"/>
  <c r="BC71" s="1"/>
  <c r="I75"/>
  <c r="S75"/>
  <c r="U75" s="1"/>
  <c r="BD75"/>
  <c r="Q77"/>
  <c r="BB77"/>
  <c r="BC77" s="1"/>
  <c r="I79"/>
  <c r="S79"/>
  <c r="U79" s="1"/>
  <c r="BD79"/>
  <c r="Q81"/>
  <c r="BB81"/>
  <c r="BC81" s="1"/>
  <c r="I87"/>
  <c r="U87"/>
  <c r="BD87"/>
  <c r="I48"/>
  <c r="S48"/>
  <c r="U48" s="1"/>
  <c r="Q56"/>
  <c r="I58"/>
  <c r="U58"/>
  <c r="Q60"/>
  <c r="I64"/>
  <c r="S64"/>
  <c r="U64" s="1"/>
  <c r="Q66"/>
  <c r="Q68"/>
  <c r="I70"/>
  <c r="S70"/>
  <c r="U70" s="1"/>
  <c r="B71"/>
  <c r="Q72"/>
  <c r="Q74"/>
  <c r="I76"/>
  <c r="S76"/>
  <c r="U76" s="1"/>
  <c r="B77"/>
  <c r="Q78"/>
  <c r="I80"/>
  <c r="S80"/>
  <c r="U80" s="1"/>
  <c r="B81"/>
  <c r="Q82"/>
  <c r="Q84"/>
  <c r="Q86"/>
  <c r="H87"/>
  <c r="I88"/>
  <c r="S88"/>
  <c r="U88" s="1"/>
  <c r="I71"/>
  <c r="S71"/>
  <c r="U71" s="1"/>
  <c r="I77"/>
  <c r="S77"/>
  <c r="U77" s="1"/>
  <c r="I81"/>
  <c r="S81"/>
  <c r="U81" s="1"/>
  <c r="Q87"/>
  <c r="V18" i="3"/>
  <c r="W62"/>
  <c r="X62" s="1"/>
  <c r="X83"/>
  <c r="W33"/>
  <c r="X33" s="1"/>
  <c r="W52"/>
  <c r="W73"/>
  <c r="X73" s="1"/>
  <c r="W31"/>
  <c r="X31" s="1"/>
  <c r="W44"/>
  <c r="W43" s="1"/>
  <c r="X43" s="1"/>
  <c r="W67"/>
  <c r="X67" s="1"/>
  <c r="X63"/>
  <c r="W85"/>
  <c r="X85" s="1"/>
  <c r="X84"/>
  <c r="A88"/>
  <c r="AZ87"/>
  <c r="R87"/>
  <c r="J87"/>
  <c r="BI26" i="4" l="1"/>
  <c r="BF68" i="5"/>
  <c r="BH77"/>
  <c r="BH88"/>
  <c r="BH49"/>
  <c r="BN68"/>
  <c r="V50"/>
  <c r="X50" s="1"/>
  <c r="BR50" s="1"/>
  <c r="BK50" s="1"/>
  <c r="Q50"/>
  <c r="X44" i="4"/>
  <c r="S44"/>
  <c r="U44" s="1"/>
  <c r="BR15"/>
  <c r="BN15" s="1"/>
  <c r="BI42" i="5"/>
  <c r="BH61"/>
  <c r="R11" i="4"/>
  <c r="Q11" s="1"/>
  <c r="BN54"/>
  <c r="Q44"/>
  <c r="R18" i="5"/>
  <c r="Q18" s="1"/>
  <c r="BK95"/>
  <c r="BI95" s="1"/>
  <c r="V55" i="4"/>
  <c r="X55" s="1"/>
  <c r="BR55" s="1"/>
  <c r="BK55" s="1"/>
  <c r="BK50" i="6"/>
  <c r="BN50"/>
  <c r="V19" i="4"/>
  <c r="V51"/>
  <c r="X51" s="1"/>
  <c r="BR18" i="6"/>
  <c r="U18"/>
  <c r="BF89" i="5"/>
  <c r="BF75"/>
  <c r="BK56"/>
  <c r="BH56" s="1"/>
  <c r="BF31"/>
  <c r="BK44"/>
  <c r="BN84"/>
  <c r="BN38" i="4"/>
  <c r="BC47"/>
  <c r="BN36"/>
  <c r="BN36" i="5"/>
  <c r="BF88"/>
  <c r="BI76"/>
  <c r="BC50" i="4"/>
  <c r="BN22"/>
  <c r="BH42" i="5"/>
  <c r="BK48" i="4"/>
  <c r="BH48" s="1"/>
  <c r="BN81" i="5"/>
  <c r="BK87"/>
  <c r="BN87"/>
  <c r="BK91"/>
  <c r="BN91"/>
  <c r="I59" i="6"/>
  <c r="C28"/>
  <c r="BN40" i="5"/>
  <c r="D63" i="6"/>
  <c r="D30"/>
  <c r="BF49" i="5"/>
  <c r="BN43"/>
  <c r="BK71" i="4"/>
  <c r="BI71" s="1"/>
  <c r="BC14"/>
  <c r="BF26"/>
  <c r="BI77" i="5"/>
  <c r="BI75"/>
  <c r="BH31"/>
  <c r="BN26" i="4"/>
  <c r="BR29"/>
  <c r="BK29" s="1"/>
  <c r="BK90" i="5"/>
  <c r="BH90" s="1"/>
  <c r="BK38"/>
  <c r="BI38" s="1"/>
  <c r="BK59"/>
  <c r="BF59" s="1"/>
  <c r="BN59"/>
  <c r="BK14" i="4"/>
  <c r="BI14" s="1"/>
  <c r="BN14"/>
  <c r="V58" i="5"/>
  <c r="Q58"/>
  <c r="BH83"/>
  <c r="BI83"/>
  <c r="BF83"/>
  <c r="BN86"/>
  <c r="BK86"/>
  <c r="BF56"/>
  <c r="BN25"/>
  <c r="BN26"/>
  <c r="BN22"/>
  <c r="BR51" i="4"/>
  <c r="BN51" s="1"/>
  <c r="BK35" i="5"/>
  <c r="BF35" s="1"/>
  <c r="BC51" i="4"/>
  <c r="I51" i="5"/>
  <c r="H51"/>
  <c r="I22"/>
  <c r="BK48"/>
  <c r="BN48"/>
  <c r="BI67"/>
  <c r="BF67"/>
  <c r="BH67"/>
  <c r="BH47"/>
  <c r="BI47"/>
  <c r="BF47"/>
  <c r="BN69"/>
  <c r="BK69"/>
  <c r="BK34"/>
  <c r="BN34"/>
  <c r="BH57"/>
  <c r="BF57"/>
  <c r="BI57"/>
  <c r="BF81"/>
  <c r="BI81"/>
  <c r="BH81"/>
  <c r="BN50"/>
  <c r="BH64"/>
  <c r="BF64"/>
  <c r="BI64"/>
  <c r="BI93"/>
  <c r="BH93"/>
  <c r="BF93"/>
  <c r="BF43"/>
  <c r="BH43"/>
  <c r="BI43"/>
  <c r="I62"/>
  <c r="BC49" i="4"/>
  <c r="BN70"/>
  <c r="BC18"/>
  <c r="BN37" i="5"/>
  <c r="BK37"/>
  <c r="BK70"/>
  <c r="BN70"/>
  <c r="D36"/>
  <c r="BH94"/>
  <c r="BF94"/>
  <c r="BI94"/>
  <c r="BF25"/>
  <c r="BI25"/>
  <c r="BH25"/>
  <c r="BH39"/>
  <c r="BI39"/>
  <c r="BF39"/>
  <c r="BF95"/>
  <c r="BK30"/>
  <c r="BN30"/>
  <c r="BN27"/>
  <c r="BK27"/>
  <c r="BA18"/>
  <c r="AZ18" s="1"/>
  <c r="BC18"/>
  <c r="BK51"/>
  <c r="BN51"/>
  <c r="BK63"/>
  <c r="BN63"/>
  <c r="BH33"/>
  <c r="BF33"/>
  <c r="BI33"/>
  <c r="U25"/>
  <c r="Q25"/>
  <c r="BF23"/>
  <c r="BI23"/>
  <c r="BH23"/>
  <c r="BK65"/>
  <c r="BN65"/>
  <c r="H59"/>
  <c r="B59" s="1"/>
  <c r="BK32"/>
  <c r="BN32"/>
  <c r="BN80"/>
  <c r="BK80"/>
  <c r="BF36"/>
  <c r="BH36"/>
  <c r="BI36"/>
  <c r="BN19"/>
  <c r="BK19"/>
  <c r="BN73"/>
  <c r="BK73"/>
  <c r="BF26"/>
  <c r="BH26"/>
  <c r="BI26"/>
  <c r="BI78"/>
  <c r="BF78"/>
  <c r="BH78"/>
  <c r="BI53"/>
  <c r="BH53"/>
  <c r="BF53"/>
  <c r="BI72"/>
  <c r="BF72"/>
  <c r="BH72"/>
  <c r="BF84"/>
  <c r="BI84"/>
  <c r="BH84"/>
  <c r="BN20"/>
  <c r="BK20"/>
  <c r="BN45"/>
  <c r="BK45"/>
  <c r="BK79"/>
  <c r="BN79"/>
  <c r="BC57" i="4"/>
  <c r="BC46"/>
  <c r="BK28" i="5"/>
  <c r="BN28"/>
  <c r="BK74"/>
  <c r="BN74"/>
  <c r="BN92"/>
  <c r="BK92"/>
  <c r="BF40"/>
  <c r="BI40"/>
  <c r="BH40"/>
  <c r="X62"/>
  <c r="BR62" s="1"/>
  <c r="BN41"/>
  <c r="BK41"/>
  <c r="BF82"/>
  <c r="BI82"/>
  <c r="BH82"/>
  <c r="BK46"/>
  <c r="BN46"/>
  <c r="BH22"/>
  <c r="BI22"/>
  <c r="BF22"/>
  <c r="I26"/>
  <c r="H62"/>
  <c r="BI71"/>
  <c r="BH71"/>
  <c r="BF71"/>
  <c r="C26"/>
  <c r="BN27" i="4"/>
  <c r="BK27"/>
  <c r="BI27" s="1"/>
  <c r="BK47"/>
  <c r="BI47" s="1"/>
  <c r="BN47"/>
  <c r="BK24"/>
  <c r="BF24" s="1"/>
  <c r="BN24"/>
  <c r="BK46"/>
  <c r="BH46" s="1"/>
  <c r="BN46"/>
  <c r="X56"/>
  <c r="X41"/>
  <c r="BR41" s="1"/>
  <c r="BN41" s="1"/>
  <c r="X21"/>
  <c r="BR21" s="1"/>
  <c r="V28"/>
  <c r="X28" s="1"/>
  <c r="BR28" s="1"/>
  <c r="BR31"/>
  <c r="BN31" s="1"/>
  <c r="BR83"/>
  <c r="BN83" s="1"/>
  <c r="BR44"/>
  <c r="BK44" s="1"/>
  <c r="BC12"/>
  <c r="BR85"/>
  <c r="BK85" s="1"/>
  <c r="BR67"/>
  <c r="BK67" s="1"/>
  <c r="BR73"/>
  <c r="BN73" s="1"/>
  <c r="BC28"/>
  <c r="BR33"/>
  <c r="BK33" s="1"/>
  <c r="BC15"/>
  <c r="BC19"/>
  <c r="T12"/>
  <c r="BC73"/>
  <c r="BC43"/>
  <c r="U1"/>
  <c r="T1" s="1"/>
  <c r="BC1"/>
  <c r="BN45"/>
  <c r="BK45"/>
  <c r="C14"/>
  <c r="C15" s="1"/>
  <c r="D53"/>
  <c r="D20"/>
  <c r="BK16"/>
  <c r="BN16"/>
  <c r="BC63"/>
  <c r="BR63"/>
  <c r="BK77"/>
  <c r="BN77"/>
  <c r="BK80"/>
  <c r="BN80"/>
  <c r="BK58"/>
  <c r="BN58"/>
  <c r="BD11"/>
  <c r="BC13"/>
  <c r="BN43"/>
  <c r="BK43"/>
  <c r="BH54"/>
  <c r="BI54"/>
  <c r="BF54"/>
  <c r="BH14"/>
  <c r="BF14"/>
  <c r="BI24"/>
  <c r="BR1"/>
  <c r="W1"/>
  <c r="BR68"/>
  <c r="BC85"/>
  <c r="BR72"/>
  <c r="BR60"/>
  <c r="BC53"/>
  <c r="X52"/>
  <c r="BR52" s="1"/>
  <c r="BR62"/>
  <c r="BR49"/>
  <c r="BR57"/>
  <c r="BC23"/>
  <c r="BR42"/>
  <c r="BN59"/>
  <c r="BK59"/>
  <c r="BI70"/>
  <c r="BF70"/>
  <c r="BH70"/>
  <c r="BK81"/>
  <c r="BN81"/>
  <c r="BK34"/>
  <c r="BN34"/>
  <c r="BF36"/>
  <c r="BH36"/>
  <c r="BI36"/>
  <c r="BK30"/>
  <c r="BN30"/>
  <c r="BK17"/>
  <c r="BN17"/>
  <c r="BH22"/>
  <c r="BF22"/>
  <c r="BI22"/>
  <c r="BC62"/>
  <c r="BR78"/>
  <c r="BR56"/>
  <c r="BR50"/>
  <c r="BC83"/>
  <c r="H44"/>
  <c r="BR61"/>
  <c r="S11"/>
  <c r="BR53"/>
  <c r="BC31"/>
  <c r="BR87"/>
  <c r="BC87"/>
  <c r="BR79"/>
  <c r="BC79"/>
  <c r="BR75"/>
  <c r="BC75"/>
  <c r="BR69"/>
  <c r="BC69"/>
  <c r="BN65"/>
  <c r="BK65"/>
  <c r="BK88"/>
  <c r="BN88"/>
  <c r="BK32"/>
  <c r="BN32"/>
  <c r="BK35"/>
  <c r="BN35"/>
  <c r="X13"/>
  <c r="BR13" s="1"/>
  <c r="W12"/>
  <c r="BI48"/>
  <c r="BK40"/>
  <c r="BN40"/>
  <c r="BR84"/>
  <c r="BR82"/>
  <c r="BR66"/>
  <c r="BC44"/>
  <c r="BC52"/>
  <c r="BC55"/>
  <c r="Q18"/>
  <c r="BK76"/>
  <c r="BN76"/>
  <c r="BR37"/>
  <c r="BC37"/>
  <c r="BF71"/>
  <c r="BH71"/>
  <c r="BK64"/>
  <c r="BN64"/>
  <c r="X19"/>
  <c r="BR19" s="1"/>
  <c r="BI38"/>
  <c r="BF38"/>
  <c r="BH38"/>
  <c r="BK20"/>
  <c r="BN20"/>
  <c r="BC65"/>
  <c r="BC59"/>
  <c r="BC45"/>
  <c r="BC67"/>
  <c r="BR86"/>
  <c r="BR74"/>
  <c r="BR39"/>
  <c r="BC25"/>
  <c r="BC16"/>
  <c r="BR25"/>
  <c r="S19"/>
  <c r="U19" s="1"/>
  <c r="Q19"/>
  <c r="BR23"/>
  <c r="X44" i="3"/>
  <c r="X52"/>
  <c r="BD88"/>
  <c r="I88"/>
  <c r="BB88"/>
  <c r="H88"/>
  <c r="Q88"/>
  <c r="A87"/>
  <c r="AZ86"/>
  <c r="R86"/>
  <c r="J86"/>
  <c r="BK15" i="4" l="1"/>
  <c r="BF15" s="1"/>
  <c r="BH95" i="5"/>
  <c r="BN55" i="4"/>
  <c r="BI90" i="5"/>
  <c r="BH38"/>
  <c r="BK18" i="6"/>
  <c r="BN18"/>
  <c r="BI50"/>
  <c r="BF50"/>
  <c r="BH50"/>
  <c r="BI56" i="5"/>
  <c r="BH44"/>
  <c r="BI44"/>
  <c r="BF44"/>
  <c r="BH24" i="4"/>
  <c r="BF27"/>
  <c r="BK41"/>
  <c r="BH41" s="1"/>
  <c r="BF48"/>
  <c r="BN29"/>
  <c r="BH27"/>
  <c r="BH47"/>
  <c r="BF90" i="5"/>
  <c r="BF87"/>
  <c r="BH87"/>
  <c r="BI87"/>
  <c r="BF91"/>
  <c r="BI91"/>
  <c r="BH91"/>
  <c r="D31" i="6"/>
  <c r="D64"/>
  <c r="C29"/>
  <c r="BI35" i="5"/>
  <c r="BI59"/>
  <c r="BH59"/>
  <c r="BF46" i="4"/>
  <c r="BF47"/>
  <c r="BF38" i="5"/>
  <c r="BF86"/>
  <c r="BH86"/>
  <c r="BI86"/>
  <c r="BK51" i="4"/>
  <c r="BH51" s="1"/>
  <c r="BH35" i="5"/>
  <c r="B51"/>
  <c r="X58"/>
  <c r="BR58" s="1"/>
  <c r="V18"/>
  <c r="X18" s="1"/>
  <c r="BH27"/>
  <c r="BI27"/>
  <c r="BF27"/>
  <c r="BN44" i="4"/>
  <c r="BI46"/>
  <c r="BF41" i="5"/>
  <c r="BH41"/>
  <c r="BI41"/>
  <c r="BN62"/>
  <c r="BK62"/>
  <c r="BI92"/>
  <c r="BH92"/>
  <c r="BF92"/>
  <c r="BF20"/>
  <c r="BI20"/>
  <c r="BH20"/>
  <c r="BI19"/>
  <c r="BH19"/>
  <c r="BF19"/>
  <c r="BH32"/>
  <c r="BF32"/>
  <c r="BI32"/>
  <c r="BI51"/>
  <c r="BF51"/>
  <c r="BH51"/>
  <c r="D37"/>
  <c r="I35" s="1"/>
  <c r="B62"/>
  <c r="BF34"/>
  <c r="BI34"/>
  <c r="BH34"/>
  <c r="C27"/>
  <c r="C28" s="1"/>
  <c r="C29" s="1"/>
  <c r="C30" s="1"/>
  <c r="C31" s="1"/>
  <c r="C32" s="1"/>
  <c r="C33" s="1"/>
  <c r="C34" s="1"/>
  <c r="C35" s="1"/>
  <c r="C36" s="1"/>
  <c r="C37" s="1"/>
  <c r="C38" s="1"/>
  <c r="BI74"/>
  <c r="BH74"/>
  <c r="BF74"/>
  <c r="BI65"/>
  <c r="BF65"/>
  <c r="BH65"/>
  <c r="BI37"/>
  <c r="BH37"/>
  <c r="BF37"/>
  <c r="BI46"/>
  <c r="BH46"/>
  <c r="BF46"/>
  <c r="BH28"/>
  <c r="BI28"/>
  <c r="BF28"/>
  <c r="BI79"/>
  <c r="BF79"/>
  <c r="BH79"/>
  <c r="BI80"/>
  <c r="BF80"/>
  <c r="BH80"/>
  <c r="BH70"/>
  <c r="BF70"/>
  <c r="BI70"/>
  <c r="BH69"/>
  <c r="BI69"/>
  <c r="BF69"/>
  <c r="BF45"/>
  <c r="BH45"/>
  <c r="BI45"/>
  <c r="BF73"/>
  <c r="BH73"/>
  <c r="BI73"/>
  <c r="BI63"/>
  <c r="BF63"/>
  <c r="BH63"/>
  <c r="BI30"/>
  <c r="BH30"/>
  <c r="BF30"/>
  <c r="S18"/>
  <c r="BF50"/>
  <c r="BH50"/>
  <c r="BI50"/>
  <c r="BH48"/>
  <c r="BF48"/>
  <c r="BI48"/>
  <c r="BN28" i="4"/>
  <c r="BK28"/>
  <c r="BH28" s="1"/>
  <c r="V18"/>
  <c r="BK21"/>
  <c r="BN21"/>
  <c r="BK31"/>
  <c r="BH31" s="1"/>
  <c r="BK83"/>
  <c r="BF83" s="1"/>
  <c r="BN67"/>
  <c r="BN85"/>
  <c r="BK73"/>
  <c r="BI73" s="1"/>
  <c r="I12"/>
  <c r="BN33"/>
  <c r="BK39"/>
  <c r="BN39"/>
  <c r="BH20"/>
  <c r="BF20"/>
  <c r="BI20"/>
  <c r="BH44"/>
  <c r="BI44"/>
  <c r="BF44"/>
  <c r="BN84"/>
  <c r="BK84"/>
  <c r="BK69"/>
  <c r="BN69"/>
  <c r="BN53"/>
  <c r="BK53"/>
  <c r="BN23"/>
  <c r="BK23"/>
  <c r="BN86"/>
  <c r="BK86"/>
  <c r="BF55"/>
  <c r="BH55"/>
  <c r="BI55"/>
  <c r="BK37"/>
  <c r="BN37"/>
  <c r="BI76"/>
  <c r="BF76"/>
  <c r="BH76"/>
  <c r="BK66"/>
  <c r="BN66"/>
  <c r="BF35"/>
  <c r="BH35"/>
  <c r="BI35"/>
  <c r="BF85"/>
  <c r="BH85"/>
  <c r="BI85"/>
  <c r="BK75"/>
  <c r="BN75"/>
  <c r="BK87"/>
  <c r="BN87"/>
  <c r="BK61"/>
  <c r="BN61"/>
  <c r="BK56"/>
  <c r="BN56"/>
  <c r="BH30"/>
  <c r="BF30"/>
  <c r="BI30"/>
  <c r="BN49"/>
  <c r="BK49"/>
  <c r="BK60"/>
  <c r="BN60"/>
  <c r="BF58"/>
  <c r="BH58"/>
  <c r="BI58"/>
  <c r="BF77"/>
  <c r="BH77"/>
  <c r="BI77"/>
  <c r="BH33"/>
  <c r="BI33"/>
  <c r="BF33"/>
  <c r="BN25"/>
  <c r="BK25"/>
  <c r="BN74"/>
  <c r="BK74"/>
  <c r="BN19"/>
  <c r="BK19"/>
  <c r="BF64"/>
  <c r="BH64"/>
  <c r="BI64"/>
  <c r="BK50"/>
  <c r="BN50"/>
  <c r="BI17"/>
  <c r="BF17"/>
  <c r="BH17"/>
  <c r="BK57"/>
  <c r="BN57"/>
  <c r="BN68"/>
  <c r="BK68"/>
  <c r="BF43"/>
  <c r="BH43"/>
  <c r="BI43"/>
  <c r="BK63"/>
  <c r="BN63"/>
  <c r="D21"/>
  <c r="C16"/>
  <c r="BF67"/>
  <c r="BH67"/>
  <c r="BI67"/>
  <c r="BN13"/>
  <c r="BK13"/>
  <c r="BK79"/>
  <c r="BN79"/>
  <c r="BK52"/>
  <c r="BN52"/>
  <c r="BC11"/>
  <c r="BA11"/>
  <c r="AZ11" s="1"/>
  <c r="BI80"/>
  <c r="BF80"/>
  <c r="BH80"/>
  <c r="BH16"/>
  <c r="BF16"/>
  <c r="BI16"/>
  <c r="BN82"/>
  <c r="BK82"/>
  <c r="BI40"/>
  <c r="BF40"/>
  <c r="BH40"/>
  <c r="W11"/>
  <c r="X12"/>
  <c r="BR12" s="1"/>
  <c r="BF65"/>
  <c r="BH65"/>
  <c r="BI65"/>
  <c r="BN78"/>
  <c r="BK78"/>
  <c r="BI34"/>
  <c r="BF34"/>
  <c r="BH34"/>
  <c r="BF81"/>
  <c r="BH81"/>
  <c r="BI81"/>
  <c r="BF59"/>
  <c r="BH59"/>
  <c r="BI59"/>
  <c r="BN42"/>
  <c r="BK42"/>
  <c r="BK62"/>
  <c r="BN62"/>
  <c r="BN72"/>
  <c r="BK72"/>
  <c r="BK1"/>
  <c r="BN1"/>
  <c r="BI29"/>
  <c r="BF29"/>
  <c r="BH29"/>
  <c r="D54"/>
  <c r="BI32"/>
  <c r="BF32"/>
  <c r="BH32"/>
  <c r="BI88"/>
  <c r="BF88"/>
  <c r="BH88"/>
  <c r="BF45"/>
  <c r="BI45"/>
  <c r="BH45"/>
  <c r="BC88" i="3"/>
  <c r="BB87"/>
  <c r="H87"/>
  <c r="BD87"/>
  <c r="I87"/>
  <c r="Q87"/>
  <c r="BR88"/>
  <c r="BN88" s="1"/>
  <c r="BK88" s="1"/>
  <c r="B87"/>
  <c r="A86"/>
  <c r="AZ85"/>
  <c r="R85"/>
  <c r="J85"/>
  <c r="BI15" i="4" l="1"/>
  <c r="BH15"/>
  <c r="BI41"/>
  <c r="BF41"/>
  <c r="D65" i="6"/>
  <c r="D66" s="1"/>
  <c r="D67" s="1"/>
  <c r="D68" s="1"/>
  <c r="I62" s="1"/>
  <c r="D32"/>
  <c r="C30"/>
  <c r="BF51" i="4"/>
  <c r="BI51"/>
  <c r="BI28"/>
  <c r="BI31"/>
  <c r="BF28"/>
  <c r="H26" i="5"/>
  <c r="B26" s="1"/>
  <c r="H35"/>
  <c r="B35" s="1"/>
  <c r="C39"/>
  <c r="I25"/>
  <c r="BR18"/>
  <c r="U18"/>
  <c r="BH62"/>
  <c r="BF62"/>
  <c r="BI62"/>
  <c r="BN58"/>
  <c r="BK58"/>
  <c r="BF21" i="4"/>
  <c r="BI21"/>
  <c r="BH21"/>
  <c r="X18"/>
  <c r="BR18" s="1"/>
  <c r="V11"/>
  <c r="X11" s="1"/>
  <c r="BF31"/>
  <c r="BH83"/>
  <c r="BI83"/>
  <c r="BF73"/>
  <c r="BH73"/>
  <c r="BI1"/>
  <c r="BF1"/>
  <c r="BH1"/>
  <c r="BH62"/>
  <c r="BI62"/>
  <c r="BF62"/>
  <c r="BF78"/>
  <c r="BH78"/>
  <c r="BI78"/>
  <c r="BH79"/>
  <c r="BI79"/>
  <c r="BF79"/>
  <c r="BI63"/>
  <c r="BF63"/>
  <c r="BH63"/>
  <c r="BF68"/>
  <c r="BH68"/>
  <c r="BI68"/>
  <c r="BH50"/>
  <c r="BF50"/>
  <c r="BI50"/>
  <c r="BF74"/>
  <c r="BH74"/>
  <c r="BI74"/>
  <c r="BH56"/>
  <c r="BI56"/>
  <c r="BF56"/>
  <c r="BH87"/>
  <c r="BI87"/>
  <c r="BF87"/>
  <c r="BH39"/>
  <c r="BI39"/>
  <c r="BF39"/>
  <c r="BF42"/>
  <c r="BH42"/>
  <c r="BI42"/>
  <c r="D55"/>
  <c r="I44" s="1"/>
  <c r="B44" s="1"/>
  <c r="BH52"/>
  <c r="BI52"/>
  <c r="BF52"/>
  <c r="C17"/>
  <c r="BI57"/>
  <c r="BF57"/>
  <c r="BH57"/>
  <c r="BF49"/>
  <c r="BH49"/>
  <c r="BI49"/>
  <c r="BH37"/>
  <c r="BI37"/>
  <c r="BF37"/>
  <c r="BF86"/>
  <c r="BH86"/>
  <c r="BI86"/>
  <c r="BF53"/>
  <c r="BI53"/>
  <c r="BH53"/>
  <c r="BF84"/>
  <c r="BH84"/>
  <c r="BI84"/>
  <c r="BF82"/>
  <c r="BH82"/>
  <c r="BI82"/>
  <c r="D22"/>
  <c r="BF19"/>
  <c r="BI19"/>
  <c r="BH19"/>
  <c r="BF25"/>
  <c r="BI25"/>
  <c r="BH25"/>
  <c r="BH60"/>
  <c r="BI60"/>
  <c r="BF60"/>
  <c r="BI61"/>
  <c r="BF61"/>
  <c r="BH61"/>
  <c r="BH75"/>
  <c r="BI75"/>
  <c r="BF75"/>
  <c r="BH66"/>
  <c r="BI66"/>
  <c r="BF66"/>
  <c r="BH69"/>
  <c r="BI69"/>
  <c r="BF69"/>
  <c r="BF72"/>
  <c r="BH72"/>
  <c r="BI72"/>
  <c r="BK12"/>
  <c r="BN12"/>
  <c r="BF13"/>
  <c r="BH13"/>
  <c r="BI13"/>
  <c r="BI23"/>
  <c r="BF23"/>
  <c r="BH23"/>
  <c r="BC87" i="3"/>
  <c r="BR87"/>
  <c r="BN87" s="1"/>
  <c r="BK87" s="1"/>
  <c r="BH88"/>
  <c r="BF88"/>
  <c r="BI88"/>
  <c r="BB86"/>
  <c r="I86"/>
  <c r="BD86"/>
  <c r="Q86"/>
  <c r="H86"/>
  <c r="AZ84"/>
  <c r="R84"/>
  <c r="J84"/>
  <c r="H62" i="6" l="1"/>
  <c r="B62" s="1"/>
  <c r="I51"/>
  <c r="B51" s="1"/>
  <c r="H59"/>
  <c r="B59" s="1"/>
  <c r="C31"/>
  <c r="C32" s="1"/>
  <c r="C33" s="1"/>
  <c r="C34" s="1"/>
  <c r="C35" s="1"/>
  <c r="C36" s="1"/>
  <c r="C37" s="1"/>
  <c r="C38" s="1"/>
  <c r="I25" s="1"/>
  <c r="D33"/>
  <c r="BF58" i="5"/>
  <c r="BH58"/>
  <c r="BI58"/>
  <c r="BN18"/>
  <c r="BK18"/>
  <c r="C40"/>
  <c r="BR11" i="4"/>
  <c r="BN11" s="1"/>
  <c r="U11"/>
  <c r="T11" s="1"/>
  <c r="BK18"/>
  <c r="BN18"/>
  <c r="I52"/>
  <c r="D56"/>
  <c r="BF12"/>
  <c r="BH12"/>
  <c r="BI12"/>
  <c r="C18"/>
  <c r="D23"/>
  <c r="D24" s="1"/>
  <c r="D25" s="1"/>
  <c r="D26" s="1"/>
  <c r="D27" s="1"/>
  <c r="D28" s="1"/>
  <c r="BC86" i="3"/>
  <c r="BR86"/>
  <c r="BN86" s="1"/>
  <c r="BK86" s="1"/>
  <c r="BI87"/>
  <c r="BH87"/>
  <c r="BF87"/>
  <c r="A84"/>
  <c r="B84" s="1"/>
  <c r="AZ83"/>
  <c r="J83"/>
  <c r="AZ82"/>
  <c r="R82"/>
  <c r="J82"/>
  <c r="A82"/>
  <c r="B82" s="1"/>
  <c r="AZ81"/>
  <c r="R81"/>
  <c r="J81"/>
  <c r="A81"/>
  <c r="BB81" s="1"/>
  <c r="AZ80"/>
  <c r="R80"/>
  <c r="J80"/>
  <c r="A80"/>
  <c r="BB80" s="1"/>
  <c r="AZ79"/>
  <c r="R79"/>
  <c r="J79"/>
  <c r="A79"/>
  <c r="BB79" s="1"/>
  <c r="AZ78"/>
  <c r="R78"/>
  <c r="J78"/>
  <c r="H78"/>
  <c r="A78"/>
  <c r="AZ77"/>
  <c r="R77"/>
  <c r="J77"/>
  <c r="A77"/>
  <c r="BD77" s="1"/>
  <c r="AZ76"/>
  <c r="R76"/>
  <c r="J76"/>
  <c r="A76"/>
  <c r="BB76" s="1"/>
  <c r="AZ75"/>
  <c r="R75"/>
  <c r="J75"/>
  <c r="D34" i="6" l="1"/>
  <c r="D35" s="1"/>
  <c r="C39"/>
  <c r="BK11" i="4"/>
  <c r="C41" i="5"/>
  <c r="I38"/>
  <c r="BF18" i="4"/>
  <c r="BI18"/>
  <c r="BH18"/>
  <c r="C19"/>
  <c r="I15"/>
  <c r="D29"/>
  <c r="D57"/>
  <c r="I82" i="3"/>
  <c r="BB82"/>
  <c r="B77"/>
  <c r="H79"/>
  <c r="BD79"/>
  <c r="BC79" s="1"/>
  <c r="BB77"/>
  <c r="BC77" s="1"/>
  <c r="I77"/>
  <c r="BD78"/>
  <c r="BR78" s="1"/>
  <c r="I79"/>
  <c r="Q82"/>
  <c r="BD82"/>
  <c r="Q77"/>
  <c r="B79"/>
  <c r="Q79"/>
  <c r="I76"/>
  <c r="B78"/>
  <c r="Q78"/>
  <c r="BB78"/>
  <c r="I80"/>
  <c r="BD80"/>
  <c r="BC80" s="1"/>
  <c r="I81"/>
  <c r="BB84"/>
  <c r="BD84"/>
  <c r="H84"/>
  <c r="I84"/>
  <c r="BH86"/>
  <c r="BI86"/>
  <c r="BF86"/>
  <c r="H81"/>
  <c r="BD81"/>
  <c r="BC81" s="1"/>
  <c r="H76"/>
  <c r="BD76"/>
  <c r="BC76" s="1"/>
  <c r="BR77"/>
  <c r="BK77" s="1"/>
  <c r="H80"/>
  <c r="B76"/>
  <c r="Q76"/>
  <c r="H77"/>
  <c r="I78"/>
  <c r="B80"/>
  <c r="Q80"/>
  <c r="B81"/>
  <c r="Q81"/>
  <c r="H82"/>
  <c r="Q84"/>
  <c r="A75"/>
  <c r="B75" s="1"/>
  <c r="AZ74"/>
  <c r="R74"/>
  <c r="J74"/>
  <c r="A74"/>
  <c r="BD74" s="1"/>
  <c r="AZ73"/>
  <c r="J73"/>
  <c r="D36" i="6" l="1"/>
  <c r="C40"/>
  <c r="BC82" i="3"/>
  <c r="C42" i="5"/>
  <c r="BR79" i="3"/>
  <c r="D58" i="4"/>
  <c r="D59" s="1"/>
  <c r="D60" s="1"/>
  <c r="D61" s="1"/>
  <c r="I55" s="1"/>
  <c r="D30"/>
  <c r="H19" s="1"/>
  <c r="C20"/>
  <c r="C21" s="1"/>
  <c r="C22" s="1"/>
  <c r="C23" s="1"/>
  <c r="C24" s="1"/>
  <c r="C25" s="1"/>
  <c r="C26" s="1"/>
  <c r="C27" s="1"/>
  <c r="C28" s="1"/>
  <c r="C29" s="1"/>
  <c r="C30" s="1"/>
  <c r="C31" s="1"/>
  <c r="BC78" i="3"/>
  <c r="BR80"/>
  <c r="BN80" s="1"/>
  <c r="B74"/>
  <c r="BB74"/>
  <c r="BC74" s="1"/>
  <c r="Q74"/>
  <c r="BC84"/>
  <c r="I74"/>
  <c r="BB75"/>
  <c r="I75"/>
  <c r="BD75"/>
  <c r="H75"/>
  <c r="BN77"/>
  <c r="R73"/>
  <c r="H74"/>
  <c r="BR81"/>
  <c r="BR76"/>
  <c r="BR84"/>
  <c r="Q75"/>
  <c r="BR74"/>
  <c r="BK78"/>
  <c r="BN78"/>
  <c r="BF77"/>
  <c r="BH77"/>
  <c r="BI77"/>
  <c r="AZ72"/>
  <c r="R72"/>
  <c r="J72"/>
  <c r="A72"/>
  <c r="BB72" s="1"/>
  <c r="AZ71"/>
  <c r="R71"/>
  <c r="J71"/>
  <c r="A71"/>
  <c r="BB71" s="1"/>
  <c r="AZ70"/>
  <c r="R70"/>
  <c r="J70"/>
  <c r="A70"/>
  <c r="BD70" s="1"/>
  <c r="AZ69"/>
  <c r="R69"/>
  <c r="J69"/>
  <c r="D37" i="6" l="1"/>
  <c r="H35" s="1"/>
  <c r="C41"/>
  <c r="I38"/>
  <c r="C43" i="5"/>
  <c r="BK80" i="3"/>
  <c r="BH80" s="1"/>
  <c r="BN79"/>
  <c r="BK79"/>
  <c r="I28" i="4"/>
  <c r="I19"/>
  <c r="B19" s="1"/>
  <c r="H52"/>
  <c r="B52" s="1"/>
  <c r="H28"/>
  <c r="I18"/>
  <c r="H55"/>
  <c r="B55" s="1"/>
  <c r="C32"/>
  <c r="BC75" i="3"/>
  <c r="BK84"/>
  <c r="BN84"/>
  <c r="H71"/>
  <c r="BR75"/>
  <c r="I70"/>
  <c r="BB70"/>
  <c r="BC70" s="1"/>
  <c r="B71"/>
  <c r="Q71"/>
  <c r="BD71"/>
  <c r="BC71" s="1"/>
  <c r="I72"/>
  <c r="BN81"/>
  <c r="BK81"/>
  <c r="H70"/>
  <c r="H72"/>
  <c r="BD72"/>
  <c r="BC72" s="1"/>
  <c r="BN76"/>
  <c r="BK76"/>
  <c r="B70"/>
  <c r="Q70"/>
  <c r="I71"/>
  <c r="B72"/>
  <c r="Q72"/>
  <c r="BI78"/>
  <c r="BF78"/>
  <c r="BH78"/>
  <c r="BK74"/>
  <c r="BN74"/>
  <c r="A69"/>
  <c r="B69" s="1"/>
  <c r="AZ68"/>
  <c r="R68"/>
  <c r="J68"/>
  <c r="BF80" l="1"/>
  <c r="I26" i="6"/>
  <c r="H26"/>
  <c r="I35"/>
  <c r="B35" s="1"/>
  <c r="C42"/>
  <c r="BI80" i="3"/>
  <c r="C44" i="5"/>
  <c r="BI79" i="3"/>
  <c r="BH79"/>
  <c r="BF79"/>
  <c r="B28" i="4"/>
  <c r="C33"/>
  <c r="BR72" i="3"/>
  <c r="BN72" s="1"/>
  <c r="BR71"/>
  <c r="BN71" s="1"/>
  <c r="BK75"/>
  <c r="BN75"/>
  <c r="I69"/>
  <c r="BB69"/>
  <c r="H69"/>
  <c r="BD69"/>
  <c r="BI81"/>
  <c r="BH81"/>
  <c r="BF81"/>
  <c r="BF84"/>
  <c r="BI84"/>
  <c r="BH84"/>
  <c r="BR70"/>
  <c r="Q69"/>
  <c r="BF76"/>
  <c r="BH76"/>
  <c r="BI76"/>
  <c r="BI74"/>
  <c r="BF74"/>
  <c r="BH74"/>
  <c r="A68"/>
  <c r="AZ67"/>
  <c r="B26" i="6" l="1"/>
  <c r="C43"/>
  <c r="C45" i="5"/>
  <c r="C34" i="4"/>
  <c r="I31"/>
  <c r="BK72" i="3"/>
  <c r="BH72" s="1"/>
  <c r="BK71"/>
  <c r="BF71" s="1"/>
  <c r="BB68"/>
  <c r="H68"/>
  <c r="I68"/>
  <c r="BD68"/>
  <c r="BR69"/>
  <c r="BH75"/>
  <c r="BF75"/>
  <c r="BI75"/>
  <c r="Q68"/>
  <c r="BK70"/>
  <c r="BN70"/>
  <c r="B68"/>
  <c r="BC69"/>
  <c r="R67"/>
  <c r="J67"/>
  <c r="BI72" l="1"/>
  <c r="C44" i="6"/>
  <c r="C46" i="5"/>
  <c r="BI71" i="3"/>
  <c r="C35" i="4"/>
  <c r="C36" s="1"/>
  <c r="C37" s="1"/>
  <c r="C38" s="1"/>
  <c r="C39" s="1"/>
  <c r="BC68" i="3"/>
  <c r="BF72"/>
  <c r="BH71"/>
  <c r="BI70"/>
  <c r="BH70"/>
  <c r="BF70"/>
  <c r="BR68"/>
  <c r="BK69"/>
  <c r="BN69"/>
  <c r="C45" i="6" l="1"/>
  <c r="C47" i="5"/>
  <c r="I33" i="4"/>
  <c r="C40"/>
  <c r="BH69" i="3"/>
  <c r="BF69"/>
  <c r="BI69"/>
  <c r="BK68"/>
  <c r="BN68"/>
  <c r="AZ66"/>
  <c r="R66"/>
  <c r="J66"/>
  <c r="C46" i="6" l="1"/>
  <c r="C48" i="5"/>
  <c r="C41" i="4"/>
  <c r="BI68" i="3"/>
  <c r="BF68"/>
  <c r="BH68"/>
  <c r="A66"/>
  <c r="AZ65"/>
  <c r="R65"/>
  <c r="J65"/>
  <c r="C47" i="6" l="1"/>
  <c r="I40"/>
  <c r="C49" i="5"/>
  <c r="C42" i="4"/>
  <c r="I66" i="3"/>
  <c r="BD66"/>
  <c r="Q66"/>
  <c r="BB66"/>
  <c r="H66"/>
  <c r="B66"/>
  <c r="A65"/>
  <c r="C48" i="6" l="1"/>
  <c r="C50" i="5"/>
  <c r="C43" i="4"/>
  <c r="BC66" i="3"/>
  <c r="BR66"/>
  <c r="BN66" s="1"/>
  <c r="BK66" s="1"/>
  <c r="Q65"/>
  <c r="BB65"/>
  <c r="H65"/>
  <c r="BD65"/>
  <c r="I65"/>
  <c r="AZ64"/>
  <c r="R64"/>
  <c r="J64"/>
  <c r="C49" i="6" l="1"/>
  <c r="C51" i="5"/>
  <c r="I46"/>
  <c r="C44" i="4"/>
  <c r="I39"/>
  <c r="BC65" i="3"/>
  <c r="BR65"/>
  <c r="BN65" s="1"/>
  <c r="BK65" s="1"/>
  <c r="BH66"/>
  <c r="BI66"/>
  <c r="BF66"/>
  <c r="A64"/>
  <c r="B64" s="1"/>
  <c r="AZ63"/>
  <c r="R63"/>
  <c r="J63"/>
  <c r="C50" i="6" l="1"/>
  <c r="C52" i="5"/>
  <c r="C53" s="1"/>
  <c r="C54" s="1"/>
  <c r="C55" s="1"/>
  <c r="C56" s="1"/>
  <c r="C57" s="1"/>
  <c r="C58" s="1"/>
  <c r="C45" i="4"/>
  <c r="BI65" i="3"/>
  <c r="BH65"/>
  <c r="BF65"/>
  <c r="Q64"/>
  <c r="BB64"/>
  <c r="H64"/>
  <c r="BD64"/>
  <c r="I64"/>
  <c r="A63"/>
  <c r="B63" s="1"/>
  <c r="AZ62"/>
  <c r="R62"/>
  <c r="J62"/>
  <c r="AZ61"/>
  <c r="R61"/>
  <c r="W61" s="1"/>
  <c r="X61" s="1"/>
  <c r="J61"/>
  <c r="A61"/>
  <c r="H61" s="1"/>
  <c r="AZ60"/>
  <c r="R60"/>
  <c r="J60"/>
  <c r="A60"/>
  <c r="BB60" s="1"/>
  <c r="AZ59"/>
  <c r="R59"/>
  <c r="J59"/>
  <c r="C51" i="6" l="1"/>
  <c r="I46"/>
  <c r="C59" i="5"/>
  <c r="I50"/>
  <c r="C46" i="4"/>
  <c r="B61" i="3"/>
  <c r="Q61"/>
  <c r="BD61"/>
  <c r="BR64"/>
  <c r="BN64" s="1"/>
  <c r="BK64" s="1"/>
  <c r="I60"/>
  <c r="BD60"/>
  <c r="BC60" s="1"/>
  <c r="I61"/>
  <c r="BB61"/>
  <c r="Q60"/>
  <c r="H60"/>
  <c r="BB63"/>
  <c r="Q63"/>
  <c r="BD63"/>
  <c r="I63"/>
  <c r="H63" s="1"/>
  <c r="BC64"/>
  <c r="A59"/>
  <c r="AZ58"/>
  <c r="C52" i="6" l="1"/>
  <c r="C60" i="5"/>
  <c r="C47" i="4"/>
  <c r="BC61" i="3"/>
  <c r="BC63"/>
  <c r="BR60"/>
  <c r="BN60" s="1"/>
  <c r="BK60" s="1"/>
  <c r="BH60" s="1"/>
  <c r="Q59"/>
  <c r="BB59"/>
  <c r="BD59"/>
  <c r="H59"/>
  <c r="BR63"/>
  <c r="BN63" s="1"/>
  <c r="BK63" s="1"/>
  <c r="BI64"/>
  <c r="BH64"/>
  <c r="BF64"/>
  <c r="B59"/>
  <c r="I59"/>
  <c r="C53" i="6" l="1"/>
  <c r="C61" i="5"/>
  <c r="C48" i="4"/>
  <c r="BF60" i="3"/>
  <c r="BI60"/>
  <c r="BR59"/>
  <c r="BN59" s="1"/>
  <c r="BK59" s="1"/>
  <c r="BF63"/>
  <c r="BI63"/>
  <c r="BH63"/>
  <c r="BC59"/>
  <c r="R58"/>
  <c r="W58" s="1"/>
  <c r="X58" s="1"/>
  <c r="J58"/>
  <c r="C54" i="6" l="1"/>
  <c r="C62" i="5"/>
  <c r="C49" i="4"/>
  <c r="BI59" i="3"/>
  <c r="BF59"/>
  <c r="BH59"/>
  <c r="A58"/>
  <c r="B58" s="1"/>
  <c r="C55" i="6" l="1"/>
  <c r="C63" i="5"/>
  <c r="C50" i="4"/>
  <c r="C51" s="1"/>
  <c r="I43" s="1"/>
  <c r="BD58" i="3"/>
  <c r="BB58"/>
  <c r="H58"/>
  <c r="Q58"/>
  <c r="I58"/>
  <c r="AZ57"/>
  <c r="R57"/>
  <c r="W57" s="1"/>
  <c r="X57" s="1"/>
  <c r="J57"/>
  <c r="C56" i="6" l="1"/>
  <c r="C64" i="5"/>
  <c r="C52" i="4"/>
  <c r="BC58" i="3"/>
  <c r="BR58"/>
  <c r="BN58" s="1"/>
  <c r="BK58" s="1"/>
  <c r="A57"/>
  <c r="B57" s="1"/>
  <c r="AZ56"/>
  <c r="R56"/>
  <c r="W56" s="1"/>
  <c r="J56"/>
  <c r="C57" i="6" l="1"/>
  <c r="C65" i="5"/>
  <c r="C53" i="4"/>
  <c r="W55" i="3"/>
  <c r="X56"/>
  <c r="BH58"/>
  <c r="BF58"/>
  <c r="BI58"/>
  <c r="BD57"/>
  <c r="BR57" s="1"/>
  <c r="BN57" s="1"/>
  <c r="BK57" s="1"/>
  <c r="BF57" s="1"/>
  <c r="I57"/>
  <c r="Q57"/>
  <c r="H57"/>
  <c r="BB57"/>
  <c r="A56"/>
  <c r="AZ55"/>
  <c r="R55"/>
  <c r="J55"/>
  <c r="C58" i="6" l="1"/>
  <c r="C66" i="5"/>
  <c r="C67" s="1"/>
  <c r="C68" s="1"/>
  <c r="C69" s="1"/>
  <c r="C54" i="4"/>
  <c r="BC57" i="3"/>
  <c r="X55"/>
  <c r="W51"/>
  <c r="X51" s="1"/>
  <c r="BH57"/>
  <c r="BB56"/>
  <c r="H56"/>
  <c r="BD56"/>
  <c r="I56"/>
  <c r="Q56"/>
  <c r="BI57"/>
  <c r="AZ54"/>
  <c r="R54"/>
  <c r="J54"/>
  <c r="C59" i="6" l="1"/>
  <c r="C70" i="5"/>
  <c r="C55" i="4"/>
  <c r="BC56" i="3"/>
  <c r="BR56"/>
  <c r="BN56" s="1"/>
  <c r="BK56" s="1"/>
  <c r="A54"/>
  <c r="AZ53"/>
  <c r="R53"/>
  <c r="J53"/>
  <c r="C60" i="6" l="1"/>
  <c r="C71" i="5"/>
  <c r="C56" i="4"/>
  <c r="BD54" i="3"/>
  <c r="I54"/>
  <c r="Q54"/>
  <c r="BB54"/>
  <c r="H54"/>
  <c r="BI56"/>
  <c r="BH56"/>
  <c r="BF56"/>
  <c r="A53"/>
  <c r="AZ52"/>
  <c r="R52"/>
  <c r="J52"/>
  <c r="C61" i="6" l="1"/>
  <c r="C72" i="5"/>
  <c r="C57" i="4"/>
  <c r="BR54" i="3"/>
  <c r="BB53"/>
  <c r="H53"/>
  <c r="BD53"/>
  <c r="I53"/>
  <c r="Q53"/>
  <c r="BC54"/>
  <c r="AZ51"/>
  <c r="R51"/>
  <c r="J51"/>
  <c r="C62" i="6" l="1"/>
  <c r="C73" i="5"/>
  <c r="C58" i="4"/>
  <c r="BC53" i="3"/>
  <c r="BR53"/>
  <c r="BN54"/>
  <c r="BK54"/>
  <c r="C63" i="6" l="1"/>
  <c r="C74" i="5"/>
  <c r="I69" s="1"/>
  <c r="C59" i="4"/>
  <c r="BN53" i="3"/>
  <c r="BK53"/>
  <c r="BI54"/>
  <c r="BH54"/>
  <c r="BF54"/>
  <c r="AZ50"/>
  <c r="R50"/>
  <c r="J50"/>
  <c r="C64" i="6" l="1"/>
  <c r="C75" i="5"/>
  <c r="C60" i="4"/>
  <c r="C61" s="1"/>
  <c r="C62" s="1"/>
  <c r="BI53" i="3"/>
  <c r="BH53"/>
  <c r="BF53"/>
  <c r="A50"/>
  <c r="B50" s="1"/>
  <c r="AZ49"/>
  <c r="R49"/>
  <c r="J49"/>
  <c r="A49"/>
  <c r="Q49" s="1"/>
  <c r="AZ48"/>
  <c r="R48"/>
  <c r="J48"/>
  <c r="C65" i="6" l="1"/>
  <c r="C76" i="5"/>
  <c r="I51" i="4"/>
  <c r="C63"/>
  <c r="I49" i="3"/>
  <c r="BD49"/>
  <c r="BR49" s="1"/>
  <c r="BN49" s="1"/>
  <c r="BK49" s="1"/>
  <c r="H49"/>
  <c r="BB49"/>
  <c r="Q50"/>
  <c r="H50"/>
  <c r="BD50"/>
  <c r="I50"/>
  <c r="BB50"/>
  <c r="A48"/>
  <c r="I48" s="1"/>
  <c r="C66" i="6" l="1"/>
  <c r="C67" s="1"/>
  <c r="C68" s="1"/>
  <c r="C69" s="1"/>
  <c r="C77" i="5"/>
  <c r="C64" i="4"/>
  <c r="BC49" i="3"/>
  <c r="BC50"/>
  <c r="BR50"/>
  <c r="BN50" s="1"/>
  <c r="BK50" s="1"/>
  <c r="B48"/>
  <c r="Q48"/>
  <c r="BD48"/>
  <c r="H48"/>
  <c r="BB48"/>
  <c r="BF49"/>
  <c r="BH49"/>
  <c r="BI49"/>
  <c r="AZ47"/>
  <c r="C70" i="6" l="1"/>
  <c r="C78" i="5"/>
  <c r="C65" i="4"/>
  <c r="BC48" i="3"/>
  <c r="BF50"/>
  <c r="BI50"/>
  <c r="BH50"/>
  <c r="BR48"/>
  <c r="R47"/>
  <c r="J47"/>
  <c r="C71" i="6" l="1"/>
  <c r="C79" i="5"/>
  <c r="C66" i="4"/>
  <c r="BN48" i="3"/>
  <c r="BK48"/>
  <c r="A47"/>
  <c r="AZ46"/>
  <c r="R46"/>
  <c r="J46"/>
  <c r="A46"/>
  <c r="Q46" s="1"/>
  <c r="C72" i="6" l="1"/>
  <c r="C80" i="5"/>
  <c r="C67" i="4"/>
  <c r="I62" s="1"/>
  <c r="BD47" i="3"/>
  <c r="BR47" s="1"/>
  <c r="BB47"/>
  <c r="Q47"/>
  <c r="H47"/>
  <c r="BI48"/>
  <c r="BF48"/>
  <c r="BH48"/>
  <c r="I46"/>
  <c r="BD46"/>
  <c r="BR46" s="1"/>
  <c r="BN46" s="1"/>
  <c r="I47"/>
  <c r="H46"/>
  <c r="BB46"/>
  <c r="B46"/>
  <c r="B47"/>
  <c r="AZ45"/>
  <c r="R45"/>
  <c r="J45"/>
  <c r="A45"/>
  <c r="BD45" s="1"/>
  <c r="AZ44"/>
  <c r="R44"/>
  <c r="J44"/>
  <c r="AZ43"/>
  <c r="J43"/>
  <c r="AZ42"/>
  <c r="R42"/>
  <c r="W42" s="1"/>
  <c r="X42" s="1"/>
  <c r="J42"/>
  <c r="A42"/>
  <c r="BB42" s="1"/>
  <c r="AZ41"/>
  <c r="R41"/>
  <c r="W41" s="1"/>
  <c r="X41" s="1"/>
  <c r="J41"/>
  <c r="A41"/>
  <c r="Q41" s="1"/>
  <c r="AZ40"/>
  <c r="R40"/>
  <c r="W40" s="1"/>
  <c r="J40"/>
  <c r="A40"/>
  <c r="Q40" s="1"/>
  <c r="AZ39"/>
  <c r="J39"/>
  <c r="AZ38"/>
  <c r="R38"/>
  <c r="J38"/>
  <c r="A38"/>
  <c r="Q38" s="1"/>
  <c r="AZ37"/>
  <c r="R37"/>
  <c r="J37"/>
  <c r="A37"/>
  <c r="H37" s="1"/>
  <c r="AZ36"/>
  <c r="R36"/>
  <c r="J36"/>
  <c r="A36"/>
  <c r="Q36" s="1"/>
  <c r="AZ35"/>
  <c r="R35"/>
  <c r="J35"/>
  <c r="A35"/>
  <c r="H35" s="1"/>
  <c r="AZ34"/>
  <c r="R34"/>
  <c r="R33" s="1"/>
  <c r="J34"/>
  <c r="A34"/>
  <c r="BD34" s="1"/>
  <c r="AZ33"/>
  <c r="J33"/>
  <c r="AZ32"/>
  <c r="R32"/>
  <c r="J32"/>
  <c r="A32"/>
  <c r="BB32" s="1"/>
  <c r="AZ31"/>
  <c r="J31"/>
  <c r="C73" i="6" l="1"/>
  <c r="C81" i="5"/>
  <c r="I74"/>
  <c r="R39" i="3"/>
  <c r="C68" i="4"/>
  <c r="I45" i="3"/>
  <c r="BC46"/>
  <c r="W39"/>
  <c r="X39" s="1"/>
  <c r="X40"/>
  <c r="BD35"/>
  <c r="BR35" s="1"/>
  <c r="BD36"/>
  <c r="BR36" s="1"/>
  <c r="BK36" s="1"/>
  <c r="BI36" s="1"/>
  <c r="BD38"/>
  <c r="BR38" s="1"/>
  <c r="BN38" s="1"/>
  <c r="H34"/>
  <c r="BB34"/>
  <c r="BC34" s="1"/>
  <c r="BB35"/>
  <c r="I35"/>
  <c r="I36"/>
  <c r="I38"/>
  <c r="BK46"/>
  <c r="BI46" s="1"/>
  <c r="Q37"/>
  <c r="BD37"/>
  <c r="Q45"/>
  <c r="BN47"/>
  <c r="BK47"/>
  <c r="I40"/>
  <c r="BD40"/>
  <c r="BR40" s="1"/>
  <c r="BN40" s="1"/>
  <c r="BK40" s="1"/>
  <c r="I41"/>
  <c r="BD41"/>
  <c r="BR41" s="1"/>
  <c r="BN41" s="1"/>
  <c r="BK41" s="1"/>
  <c r="BF41" s="1"/>
  <c r="I42"/>
  <c r="BR45"/>
  <c r="BN45" s="1"/>
  <c r="BK45" s="1"/>
  <c r="BI45" s="1"/>
  <c r="I32"/>
  <c r="Q34"/>
  <c r="H32"/>
  <c r="BD32"/>
  <c r="BC32" s="1"/>
  <c r="BR34"/>
  <c r="BN34" s="1"/>
  <c r="Q35"/>
  <c r="H36"/>
  <c r="BB36"/>
  <c r="I37"/>
  <c r="BB37"/>
  <c r="H38"/>
  <c r="BB38"/>
  <c r="H40"/>
  <c r="BB40"/>
  <c r="H41"/>
  <c r="BB41"/>
  <c r="H42"/>
  <c r="BD42"/>
  <c r="BC42" s="1"/>
  <c r="H45"/>
  <c r="BC47"/>
  <c r="B32"/>
  <c r="Q32"/>
  <c r="I34"/>
  <c r="B40"/>
  <c r="B41"/>
  <c r="B42"/>
  <c r="Q42"/>
  <c r="B45"/>
  <c r="BB45"/>
  <c r="BC45" s="1"/>
  <c r="C74" i="6" l="1"/>
  <c r="I69" s="1"/>
  <c r="BF46" i="3"/>
  <c r="BH45"/>
  <c r="C82" i="5"/>
  <c r="C69" i="4"/>
  <c r="BF45" i="3"/>
  <c r="BH46"/>
  <c r="BK34"/>
  <c r="BF34" s="1"/>
  <c r="BC36"/>
  <c r="BR42"/>
  <c r="BN42" s="1"/>
  <c r="BK42" s="1"/>
  <c r="BI42" s="1"/>
  <c r="BC38"/>
  <c r="BC41"/>
  <c r="BR32"/>
  <c r="BN32" s="1"/>
  <c r="BK32" s="1"/>
  <c r="BF32" s="1"/>
  <c r="BN36"/>
  <c r="BH36"/>
  <c r="BH41"/>
  <c r="BN35"/>
  <c r="BK35"/>
  <c r="BH35" s="1"/>
  <c r="BF36"/>
  <c r="BK38"/>
  <c r="BH38" s="1"/>
  <c r="BC35"/>
  <c r="BC37"/>
  <c r="BR37"/>
  <c r="BH47"/>
  <c r="BI47"/>
  <c r="BF47"/>
  <c r="BI41"/>
  <c r="BC40"/>
  <c r="BF40"/>
  <c r="BH40"/>
  <c r="BI40"/>
  <c r="AZ30"/>
  <c r="R30"/>
  <c r="W30" s="1"/>
  <c r="X30" s="1"/>
  <c r="J30"/>
  <c r="A30"/>
  <c r="BD30" s="1"/>
  <c r="AZ29"/>
  <c r="R29"/>
  <c r="J29"/>
  <c r="A29"/>
  <c r="BB29" s="1"/>
  <c r="AZ28"/>
  <c r="J28"/>
  <c r="AZ27"/>
  <c r="R27"/>
  <c r="W27" s="1"/>
  <c r="X27" s="1"/>
  <c r="J27"/>
  <c r="A27"/>
  <c r="B27" s="1"/>
  <c r="AZ26"/>
  <c r="R26"/>
  <c r="W26" s="1"/>
  <c r="X26" s="1"/>
  <c r="J26"/>
  <c r="A26"/>
  <c r="BD26" s="1"/>
  <c r="AZ25"/>
  <c r="BF35" l="1"/>
  <c r="BF42"/>
  <c r="BH42"/>
  <c r="C75" i="6"/>
  <c r="BI38" i="3"/>
  <c r="C83" i="5"/>
  <c r="BI34" i="3"/>
  <c r="C70" i="4"/>
  <c r="BI32" i="3"/>
  <c r="BH34"/>
  <c r="I27"/>
  <c r="R28"/>
  <c r="W29"/>
  <c r="BH32"/>
  <c r="BF38"/>
  <c r="BI35"/>
  <c r="BB27"/>
  <c r="Q26"/>
  <c r="BD27"/>
  <c r="BR27" s="1"/>
  <c r="BN27" s="1"/>
  <c r="BK27" s="1"/>
  <c r="H26"/>
  <c r="B26"/>
  <c r="H27"/>
  <c r="BB26"/>
  <c r="BC26" s="1"/>
  <c r="Q29"/>
  <c r="B30"/>
  <c r="Q30"/>
  <c r="BN37"/>
  <c r="BK37"/>
  <c r="BR30"/>
  <c r="BN30" s="1"/>
  <c r="BK30" s="1"/>
  <c r="BH30" s="1"/>
  <c r="Q27"/>
  <c r="I29"/>
  <c r="BD29"/>
  <c r="BC29" s="1"/>
  <c r="I30"/>
  <c r="I26"/>
  <c r="H29"/>
  <c r="H30"/>
  <c r="BB30"/>
  <c r="BC30" s="1"/>
  <c r="BR26"/>
  <c r="BN26" s="1"/>
  <c r="BK26" s="1"/>
  <c r="R25"/>
  <c r="W25" s="1"/>
  <c r="X25" s="1"/>
  <c r="J25"/>
  <c r="A25"/>
  <c r="Q25" s="1"/>
  <c r="AZ24"/>
  <c r="C76" i="6" l="1"/>
  <c r="C84" i="5"/>
  <c r="C71" i="4"/>
  <c r="X29" i="3"/>
  <c r="BR29" s="1"/>
  <c r="BN29" s="1"/>
  <c r="BK29" s="1"/>
  <c r="BH29" s="1"/>
  <c r="W28"/>
  <c r="BC27"/>
  <c r="BF30"/>
  <c r="BI30"/>
  <c r="BH27"/>
  <c r="BF27"/>
  <c r="BI27"/>
  <c r="H25"/>
  <c r="B25"/>
  <c r="BD25"/>
  <c r="BB25"/>
  <c r="BI37"/>
  <c r="BH37"/>
  <c r="BF37"/>
  <c r="I25"/>
  <c r="BI26"/>
  <c r="BF26"/>
  <c r="BH26"/>
  <c r="R24"/>
  <c r="W24" s="1"/>
  <c r="X24" s="1"/>
  <c r="J24"/>
  <c r="A24"/>
  <c r="BD24" s="1"/>
  <c r="C77" i="6" l="1"/>
  <c r="C85" i="5"/>
  <c r="C72" i="4"/>
  <c r="BI29" i="3"/>
  <c r="BF29"/>
  <c r="X28"/>
  <c r="BR24"/>
  <c r="BN24" s="1"/>
  <c r="BK24" s="1"/>
  <c r="BF24" s="1"/>
  <c r="I24"/>
  <c r="H24"/>
  <c r="BC25"/>
  <c r="B24"/>
  <c r="Q24"/>
  <c r="BR25"/>
  <c r="BN25" s="1"/>
  <c r="BK25" s="1"/>
  <c r="AZ23"/>
  <c r="R23"/>
  <c r="W23" s="1"/>
  <c r="X23" s="1"/>
  <c r="J23"/>
  <c r="A23"/>
  <c r="BD23" s="1"/>
  <c r="C78" i="6" l="1"/>
  <c r="C86" i="5"/>
  <c r="C73" i="4"/>
  <c r="BH24" i="3"/>
  <c r="BI24"/>
  <c r="B23"/>
  <c r="H23"/>
  <c r="BB23"/>
  <c r="BC23" s="1"/>
  <c r="Q23"/>
  <c r="BF25"/>
  <c r="BH25"/>
  <c r="BI25"/>
  <c r="BR23"/>
  <c r="BN23" s="1"/>
  <c r="BK23" s="1"/>
  <c r="BF23" s="1"/>
  <c r="I23"/>
  <c r="C79" i="6" l="1"/>
  <c r="C87" i="5"/>
  <c r="C74" i="4"/>
  <c r="I67"/>
  <c r="BH23" i="3"/>
  <c r="BI23"/>
  <c r="AZ22"/>
  <c r="C80" i="6" l="1"/>
  <c r="C88" i="5"/>
  <c r="C89" s="1"/>
  <c r="C90" s="1"/>
  <c r="C75" i="4"/>
  <c r="R22" i="3"/>
  <c r="W22" s="1"/>
  <c r="X22" s="1"/>
  <c r="J22"/>
  <c r="A22"/>
  <c r="AZ21"/>
  <c r="R21"/>
  <c r="W21" s="1"/>
  <c r="X21" s="1"/>
  <c r="J21"/>
  <c r="A21"/>
  <c r="AZ20"/>
  <c r="R20"/>
  <c r="W20" s="1"/>
  <c r="J20"/>
  <c r="A20"/>
  <c r="BD20" s="1"/>
  <c r="C81" i="6" l="1"/>
  <c r="I74"/>
  <c r="C91" i="5"/>
  <c r="C76" i="4"/>
  <c r="W19" i="3"/>
  <c r="X20"/>
  <c r="BR20" s="1"/>
  <c r="BN20" s="1"/>
  <c r="BK20" s="1"/>
  <c r="BD22"/>
  <c r="BR22" s="1"/>
  <c r="BN22" s="1"/>
  <c r="BK22" s="1"/>
  <c r="BF22" s="1"/>
  <c r="BB22"/>
  <c r="I20"/>
  <c r="B20"/>
  <c r="Q20"/>
  <c r="BB20"/>
  <c r="BC20" s="1"/>
  <c r="H21"/>
  <c r="BD21"/>
  <c r="BR21" s="1"/>
  <c r="BN21" s="1"/>
  <c r="BK21" s="1"/>
  <c r="I22"/>
  <c r="B21"/>
  <c r="Q21"/>
  <c r="BB21"/>
  <c r="H22"/>
  <c r="B22"/>
  <c r="Q22"/>
  <c r="H20"/>
  <c r="I21"/>
  <c r="AZ19"/>
  <c r="R19"/>
  <c r="J19"/>
  <c r="AZ18"/>
  <c r="J18"/>
  <c r="C82" i="6" l="1"/>
  <c r="C92" i="5"/>
  <c r="C77" i="4"/>
  <c r="X19" i="3"/>
  <c r="W18"/>
  <c r="X18" s="1"/>
  <c r="BC21"/>
  <c r="BH22"/>
  <c r="BI22"/>
  <c r="BC22"/>
  <c r="BI20"/>
  <c r="BF20"/>
  <c r="BH20"/>
  <c r="BH21"/>
  <c r="BI21"/>
  <c r="BF21"/>
  <c r="AZ17"/>
  <c r="R17"/>
  <c r="J17"/>
  <c r="A17"/>
  <c r="AZ16"/>
  <c r="R16"/>
  <c r="W16" s="1"/>
  <c r="J16"/>
  <c r="A16"/>
  <c r="AZ15"/>
  <c r="J15"/>
  <c r="AZ14"/>
  <c r="R14"/>
  <c r="W14" s="1"/>
  <c r="X14" s="1"/>
  <c r="J14"/>
  <c r="A14"/>
  <c r="BB14" s="1"/>
  <c r="AZ13"/>
  <c r="R13"/>
  <c r="W13" s="1"/>
  <c r="J13"/>
  <c r="A13"/>
  <c r="H13" s="1"/>
  <c r="AZ12"/>
  <c r="J12"/>
  <c r="A12"/>
  <c r="BD12" s="1"/>
  <c r="I14" l="1"/>
  <c r="C83" i="6"/>
  <c r="C93" i="5"/>
  <c r="I90"/>
  <c r="R15" i="3"/>
  <c r="C78" i="4"/>
  <c r="D12" i="3"/>
  <c r="X13"/>
  <c r="W12"/>
  <c r="X16"/>
  <c r="W15"/>
  <c r="X15" s="1"/>
  <c r="BB12"/>
  <c r="BC12" s="1"/>
  <c r="BD13"/>
  <c r="C12"/>
  <c r="B13"/>
  <c r="Q13"/>
  <c r="BB13"/>
  <c r="H14"/>
  <c r="BD14"/>
  <c r="BC14" s="1"/>
  <c r="I16"/>
  <c r="BD16"/>
  <c r="I17"/>
  <c r="BD17"/>
  <c r="B14"/>
  <c r="Q14"/>
  <c r="H16"/>
  <c r="BB16"/>
  <c r="BC16" s="1"/>
  <c r="H17"/>
  <c r="BB17"/>
  <c r="G12"/>
  <c r="F12" s="1"/>
  <c r="F13" s="1"/>
  <c r="E12"/>
  <c r="I13"/>
  <c r="B16"/>
  <c r="Q16"/>
  <c r="B17"/>
  <c r="Q17"/>
  <c r="BC13"/>
  <c r="BR16"/>
  <c r="BN16" s="1"/>
  <c r="BK16" s="1"/>
  <c r="BM11"/>
  <c r="BL11"/>
  <c r="BR14" l="1"/>
  <c r="BN14" s="1"/>
  <c r="BK14" s="1"/>
  <c r="BR13"/>
  <c r="BN13" s="1"/>
  <c r="BK13" s="1"/>
  <c r="C84" i="6"/>
  <c r="C94" i="5"/>
  <c r="C79" i="4"/>
  <c r="X12" i="3"/>
  <c r="W11"/>
  <c r="BC17"/>
  <c r="G13"/>
  <c r="G14" s="1"/>
  <c r="F14"/>
  <c r="E13"/>
  <c r="D13" s="1"/>
  <c r="C13"/>
  <c r="C14" s="1"/>
  <c r="BR17"/>
  <c r="BN17" s="1"/>
  <c r="BK17" s="1"/>
  <c r="BI17" s="1"/>
  <c r="BR12"/>
  <c r="BN12" s="1"/>
  <c r="BI16"/>
  <c r="BF16"/>
  <c r="BH16"/>
  <c r="BF14"/>
  <c r="BH14"/>
  <c r="BI14"/>
  <c r="BH13"/>
  <c r="BI13"/>
  <c r="BF13"/>
  <c r="BD11"/>
  <c r="BA11" s="1"/>
  <c r="AO11"/>
  <c r="AC11"/>
  <c r="C85" i="6" l="1"/>
  <c r="C95" i="5"/>
  <c r="I92" s="1"/>
  <c r="C80" i="4"/>
  <c r="E14" i="3"/>
  <c r="D14" s="1"/>
  <c r="BF17"/>
  <c r="BH17"/>
  <c r="BK12"/>
  <c r="BI12" s="1"/>
  <c r="BN10"/>
  <c r="BK10"/>
  <c r="BH10"/>
  <c r="AA10"/>
  <c r="AY9"/>
  <c r="S9"/>
  <c r="I8"/>
  <c r="BD7"/>
  <c r="AZ1"/>
  <c r="J1"/>
  <c r="C86" i="6" l="1"/>
  <c r="H90" i="5"/>
  <c r="B90" s="1"/>
  <c r="H19"/>
  <c r="B19" s="1"/>
  <c r="H22"/>
  <c r="B22" s="1"/>
  <c r="H25"/>
  <c r="B25" s="1"/>
  <c r="I40"/>
  <c r="H40"/>
  <c r="H38"/>
  <c r="B38" s="1"/>
  <c r="H46"/>
  <c r="B46" s="1"/>
  <c r="H50"/>
  <c r="B50" s="1"/>
  <c r="I58"/>
  <c r="H58"/>
  <c r="H69"/>
  <c r="B69" s="1"/>
  <c r="H74"/>
  <c r="B74" s="1"/>
  <c r="I80"/>
  <c r="H80"/>
  <c r="H92"/>
  <c r="B92" s="1"/>
  <c r="C81" i="4"/>
  <c r="C82" s="1"/>
  <c r="C83" s="1"/>
  <c r="BF12" i="3"/>
  <c r="BH12"/>
  <c r="C87" i="6" l="1"/>
  <c r="B40" i="5"/>
  <c r="B80"/>
  <c r="B58"/>
  <c r="C84" i="4"/>
  <c r="B34" i="3"/>
  <c r="C88" i="6" l="1"/>
  <c r="C89" s="1"/>
  <c r="C90" s="1"/>
  <c r="B18" i="5"/>
  <c r="C85" i="4"/>
  <c r="B35" i="3"/>
  <c r="C91" i="6" l="1"/>
  <c r="C86" i="4"/>
  <c r="I83"/>
  <c r="B36" i="3"/>
  <c r="C92" i="6" l="1"/>
  <c r="C87" i="4"/>
  <c r="B37" i="3"/>
  <c r="C93" i="6" l="1"/>
  <c r="I90"/>
  <c r="C88" i="4"/>
  <c r="I85" s="1"/>
  <c r="B38" i="3"/>
  <c r="C94" i="6" l="1"/>
  <c r="H12" i="4"/>
  <c r="B12" s="1"/>
  <c r="H15"/>
  <c r="B15" s="1"/>
  <c r="H18"/>
  <c r="B18" s="1"/>
  <c r="H31"/>
  <c r="B31" s="1"/>
  <c r="H33"/>
  <c r="B33" s="1"/>
  <c r="H39"/>
  <c r="B39" s="1"/>
  <c r="H43"/>
  <c r="B43" s="1"/>
  <c r="H51"/>
  <c r="B51" s="1"/>
  <c r="H62"/>
  <c r="B62" s="1"/>
  <c r="H67"/>
  <c r="B67" s="1"/>
  <c r="I73"/>
  <c r="H73"/>
  <c r="H85"/>
  <c r="B85" s="1"/>
  <c r="H83"/>
  <c r="B83" s="1"/>
  <c r="B49" i="3"/>
  <c r="C95" i="6" l="1"/>
  <c r="I92" s="1"/>
  <c r="B73" i="4"/>
  <c r="B11" s="1"/>
  <c r="B53" i="3"/>
  <c r="H19" i="6" l="1"/>
  <c r="B19" s="1"/>
  <c r="H22"/>
  <c r="B22" s="1"/>
  <c r="H25"/>
  <c r="B25" s="1"/>
  <c r="H38"/>
  <c r="B38" s="1"/>
  <c r="H40"/>
  <c r="B40" s="1"/>
  <c r="H46"/>
  <c r="B46" s="1"/>
  <c r="I50"/>
  <c r="H50"/>
  <c r="I58"/>
  <c r="H58"/>
  <c r="H69"/>
  <c r="B69" s="1"/>
  <c r="H74"/>
  <c r="B74" s="1"/>
  <c r="I80"/>
  <c r="H80"/>
  <c r="H90"/>
  <c r="B90" s="1"/>
  <c r="H92"/>
  <c r="B92" s="1"/>
  <c r="B54" i="3"/>
  <c r="B80" i="6" l="1"/>
  <c r="B58"/>
  <c r="B50"/>
  <c r="B56" i="3"/>
  <c r="B18" i="6" l="1"/>
  <c r="B60" i="3"/>
  <c r="B65" l="1"/>
  <c r="B86" l="1"/>
  <c r="B88" l="1"/>
  <c r="AB10" l="1"/>
  <c r="AC10" s="1"/>
  <c r="BB11"/>
  <c r="AY11" s="1"/>
  <c r="AZ11" s="1"/>
  <c r="R12"/>
  <c r="R31"/>
  <c r="R83"/>
  <c r="R18"/>
  <c r="R43"/>
  <c r="Q12" l="1"/>
  <c r="R11"/>
  <c r="Q11" s="1"/>
  <c r="AD10"/>
  <c r="AE10" s="1"/>
  <c r="AF10" s="1"/>
  <c r="AG10" s="1"/>
  <c r="AH10" s="1"/>
  <c r="AI10" s="1"/>
  <c r="AJ10" s="1"/>
  <c r="AK10" s="1"/>
  <c r="AL10" s="1"/>
  <c r="AM10" s="1"/>
  <c r="AN10" s="1"/>
  <c r="AO10" s="1"/>
  <c r="AP10" s="1"/>
  <c r="AQ10" s="1"/>
  <c r="AR10" s="1"/>
  <c r="AS10" s="1"/>
  <c r="AT10" s="1"/>
  <c r="AU10" s="1"/>
  <c r="AV10" s="1"/>
  <c r="AW10" s="1"/>
  <c r="BC11"/>
  <c r="S80" l="1"/>
  <c r="U80" s="1"/>
  <c r="S68"/>
  <c r="U68" s="1"/>
  <c r="S30"/>
  <c r="U30" s="1"/>
  <c r="S37"/>
  <c r="U37" s="1"/>
  <c r="S32"/>
  <c r="U32" s="1"/>
  <c r="S26"/>
  <c r="U26" s="1"/>
  <c r="S14"/>
  <c r="U14" s="1"/>
  <c r="S78"/>
  <c r="U78" s="1"/>
  <c r="S70"/>
  <c r="U70" s="1"/>
  <c r="S34"/>
  <c r="U34" s="1"/>
  <c r="S22"/>
  <c r="U22" s="1"/>
  <c r="S58"/>
  <c r="U58" s="1"/>
  <c r="S20"/>
  <c r="U20" s="1"/>
  <c r="S74"/>
  <c r="U74" s="1"/>
  <c r="S38"/>
  <c r="U38" s="1"/>
  <c r="S66"/>
  <c r="U66" s="1"/>
  <c r="S75"/>
  <c r="U75" s="1"/>
  <c r="S47"/>
  <c r="U47" s="1"/>
  <c r="S54"/>
  <c r="U54" s="1"/>
  <c r="S45"/>
  <c r="U45" s="1"/>
  <c r="S53"/>
  <c r="U53" s="1"/>
  <c r="S88"/>
  <c r="U88" s="1"/>
  <c r="S60"/>
  <c r="U60" s="1"/>
  <c r="S27"/>
  <c r="U27" s="1"/>
  <c r="S50"/>
  <c r="U50" s="1"/>
  <c r="S81"/>
  <c r="U81" s="1"/>
  <c r="S23"/>
  <c r="U23" s="1"/>
  <c r="S77"/>
  <c r="U77" s="1"/>
  <c r="S46"/>
  <c r="U46" s="1"/>
  <c r="S16"/>
  <c r="U16" s="1"/>
  <c r="S49"/>
  <c r="U49" s="1"/>
  <c r="S48"/>
  <c r="U48" s="1"/>
  <c r="S76"/>
  <c r="U76" s="1"/>
  <c r="U12"/>
  <c r="S29"/>
  <c r="U29" s="1"/>
  <c r="S21"/>
  <c r="U21" s="1"/>
  <c r="S17"/>
  <c r="U17" s="1"/>
  <c r="S40"/>
  <c r="U40" s="1"/>
  <c r="S87"/>
  <c r="U87" s="1"/>
  <c r="S57"/>
  <c r="U57" s="1"/>
  <c r="S56"/>
  <c r="U56" s="1"/>
  <c r="S84"/>
  <c r="U84" s="1"/>
  <c r="S63"/>
  <c r="U63" s="1"/>
  <c r="S42"/>
  <c r="U42" s="1"/>
  <c r="S35"/>
  <c r="U35" s="1"/>
  <c r="S24"/>
  <c r="U24" s="1"/>
  <c r="S36"/>
  <c r="U36" s="1"/>
  <c r="S25"/>
  <c r="U25" s="1"/>
  <c r="S59"/>
  <c r="U59" s="1"/>
  <c r="S79"/>
  <c r="U79" s="1"/>
  <c r="S65"/>
  <c r="U65" s="1"/>
  <c r="S61"/>
  <c r="U61" s="1"/>
  <c r="S69"/>
  <c r="U69" s="1"/>
  <c r="S82"/>
  <c r="U82" s="1"/>
  <c r="S64"/>
  <c r="U64" s="1"/>
  <c r="S72"/>
  <c r="U72" s="1"/>
  <c r="S71"/>
  <c r="U71" s="1"/>
  <c r="S13"/>
  <c r="U13" s="1"/>
  <c r="S86"/>
  <c r="U86" s="1"/>
  <c r="S12"/>
  <c r="S41"/>
  <c r="U41" s="1"/>
  <c r="T12" l="1"/>
  <c r="BB24"/>
  <c r="BC24" s="1"/>
  <c r="K44"/>
  <c r="A44" s="1"/>
  <c r="K43"/>
  <c r="A43" s="1"/>
  <c r="K28"/>
  <c r="A28" s="1"/>
  <c r="K62"/>
  <c r="A62" s="1"/>
  <c r="K31"/>
  <c r="A31" s="1"/>
  <c r="K15"/>
  <c r="A15" s="1"/>
  <c r="K18"/>
  <c r="A18" s="1"/>
  <c r="K19"/>
  <c r="A19" s="1"/>
  <c r="K33"/>
  <c r="A33" s="1"/>
  <c r="K39"/>
  <c r="A39" s="1"/>
  <c r="K51"/>
  <c r="A51" s="1"/>
  <c r="K52"/>
  <c r="A52" s="1"/>
  <c r="K55"/>
  <c r="A55" s="1"/>
  <c r="K67"/>
  <c r="A67" s="1"/>
  <c r="K73"/>
  <c r="A73" s="1"/>
  <c r="K83"/>
  <c r="A83" s="1"/>
  <c r="K85"/>
  <c r="A85" s="1"/>
  <c r="B29"/>
  <c r="BR61"/>
  <c r="BK61" s="1"/>
  <c r="BR82"/>
  <c r="BK82" s="1"/>
  <c r="K1"/>
  <c r="A1" s="1"/>
  <c r="F18" l="1"/>
  <c r="Q18"/>
  <c r="BD18"/>
  <c r="BR18" s="1"/>
  <c r="E18"/>
  <c r="D18"/>
  <c r="D19" s="1"/>
  <c r="D20" s="1"/>
  <c r="D21" s="1"/>
  <c r="D22" s="1"/>
  <c r="D23" s="1"/>
  <c r="D24" s="1"/>
  <c r="D25" s="1"/>
  <c r="D26" s="1"/>
  <c r="D27" s="1"/>
  <c r="D28" s="1"/>
  <c r="S18"/>
  <c r="U18" s="1"/>
  <c r="BB18"/>
  <c r="G18"/>
  <c r="BN82"/>
  <c r="BN61"/>
  <c r="BI82"/>
  <c r="BH82"/>
  <c r="BB1"/>
  <c r="G1"/>
  <c r="E1"/>
  <c r="V1"/>
  <c r="C1"/>
  <c r="F1"/>
  <c r="BD1"/>
  <c r="H1"/>
  <c r="B1"/>
  <c r="X1"/>
  <c r="R1"/>
  <c r="S1" s="1"/>
  <c r="D1"/>
  <c r="Q1"/>
  <c r="I1"/>
  <c r="D67"/>
  <c r="D68" s="1"/>
  <c r="D69" s="1"/>
  <c r="D70" s="1"/>
  <c r="D71" s="1"/>
  <c r="D72" s="1"/>
  <c r="F67"/>
  <c r="F68" s="1"/>
  <c r="F69" s="1"/>
  <c r="F70" s="1"/>
  <c r="F71" s="1"/>
  <c r="F72" s="1"/>
  <c r="G67"/>
  <c r="G68" s="1"/>
  <c r="G69" s="1"/>
  <c r="G70" s="1"/>
  <c r="G71" s="1"/>
  <c r="G72" s="1"/>
  <c r="S67"/>
  <c r="U67" s="1"/>
  <c r="BD67"/>
  <c r="Q67"/>
  <c r="E67"/>
  <c r="E68" s="1"/>
  <c r="E69" s="1"/>
  <c r="E70" s="1"/>
  <c r="E71" s="1"/>
  <c r="E72" s="1"/>
  <c r="BB67"/>
  <c r="D39"/>
  <c r="D40" s="1"/>
  <c r="D41" s="1"/>
  <c r="D42" s="1"/>
  <c r="BD39"/>
  <c r="Q39"/>
  <c r="G39"/>
  <c r="G40" s="1"/>
  <c r="G41" s="1"/>
  <c r="G42" s="1"/>
  <c r="F39"/>
  <c r="F40" s="1"/>
  <c r="F41" s="1"/>
  <c r="F42" s="1"/>
  <c r="E39"/>
  <c r="E40" s="1"/>
  <c r="E41" s="1"/>
  <c r="E42" s="1"/>
  <c r="BB39"/>
  <c r="S39"/>
  <c r="U39" s="1"/>
  <c r="S28"/>
  <c r="U28" s="1"/>
  <c r="G28"/>
  <c r="G29" s="1"/>
  <c r="G30" s="1"/>
  <c r="F28"/>
  <c r="F29" s="1"/>
  <c r="F30" s="1"/>
  <c r="BB28"/>
  <c r="E28"/>
  <c r="E29" s="1"/>
  <c r="E30" s="1"/>
  <c r="BD28"/>
  <c r="Q28"/>
  <c r="BI61"/>
  <c r="BH61"/>
  <c r="BF61"/>
  <c r="F85"/>
  <c r="F86" s="1"/>
  <c r="F87" s="1"/>
  <c r="F88" s="1"/>
  <c r="E85"/>
  <c r="E86" s="1"/>
  <c r="E87" s="1"/>
  <c r="E88" s="1"/>
  <c r="BB85"/>
  <c r="BD85"/>
  <c r="S85"/>
  <c r="U85" s="1"/>
  <c r="D85"/>
  <c r="D86" s="1"/>
  <c r="D87" s="1"/>
  <c r="D88" s="1"/>
  <c r="G85"/>
  <c r="G86" s="1"/>
  <c r="G87" s="1"/>
  <c r="G88" s="1"/>
  <c r="Q85"/>
  <c r="F73"/>
  <c r="F74" s="1"/>
  <c r="F75" s="1"/>
  <c r="F76" s="1"/>
  <c r="F77" s="1"/>
  <c r="F78" s="1"/>
  <c r="F79" s="1"/>
  <c r="F80" s="1"/>
  <c r="F81" s="1"/>
  <c r="F82" s="1"/>
  <c r="BB73"/>
  <c r="BD73"/>
  <c r="Q73"/>
  <c r="S73"/>
  <c r="U73" s="1"/>
  <c r="D73"/>
  <c r="D74" s="1"/>
  <c r="D75" s="1"/>
  <c r="D76" s="1"/>
  <c r="D77" s="1"/>
  <c r="D78" s="1"/>
  <c r="D79" s="1"/>
  <c r="D80" s="1"/>
  <c r="D81" s="1"/>
  <c r="D82" s="1"/>
  <c r="E73"/>
  <c r="E74" s="1"/>
  <c r="E75" s="1"/>
  <c r="E76" s="1"/>
  <c r="E77" s="1"/>
  <c r="E78" s="1"/>
  <c r="E79" s="1"/>
  <c r="E80" s="1"/>
  <c r="E81" s="1"/>
  <c r="E82" s="1"/>
  <c r="G73"/>
  <c r="G74" s="1"/>
  <c r="G75" s="1"/>
  <c r="G76" s="1"/>
  <c r="G77" s="1"/>
  <c r="G78" s="1"/>
  <c r="G79" s="1"/>
  <c r="G80" s="1"/>
  <c r="G81" s="1"/>
  <c r="G82" s="1"/>
  <c r="D51"/>
  <c r="D52" s="1"/>
  <c r="D53" s="1"/>
  <c r="D54" s="1"/>
  <c r="D55" s="1"/>
  <c r="D56" s="1"/>
  <c r="D57" s="1"/>
  <c r="D58" s="1"/>
  <c r="D59" s="1"/>
  <c r="D60" s="1"/>
  <c r="D61" s="1"/>
  <c r="S51"/>
  <c r="U51" s="1"/>
  <c r="F51"/>
  <c r="E51"/>
  <c r="G51"/>
  <c r="BD51"/>
  <c r="BB51"/>
  <c r="Q51"/>
  <c r="E62"/>
  <c r="E63" s="1"/>
  <c r="E64" s="1"/>
  <c r="E65" s="1"/>
  <c r="E66" s="1"/>
  <c r="D62"/>
  <c r="D63" s="1"/>
  <c r="D64" s="1"/>
  <c r="D65" s="1"/>
  <c r="D66" s="1"/>
  <c r="F62"/>
  <c r="F63" s="1"/>
  <c r="F64" s="1"/>
  <c r="F65" s="1"/>
  <c r="F66" s="1"/>
  <c r="BD62"/>
  <c r="Q62"/>
  <c r="BB62"/>
  <c r="S62"/>
  <c r="U62" s="1"/>
  <c r="G62"/>
  <c r="G63" s="1"/>
  <c r="G64" s="1"/>
  <c r="G65" s="1"/>
  <c r="G66" s="1"/>
  <c r="BD52"/>
  <c r="S52"/>
  <c r="U52" s="1"/>
  <c r="E52"/>
  <c r="E53" s="1"/>
  <c r="E54" s="1"/>
  <c r="G52"/>
  <c r="G53" s="1"/>
  <c r="G54" s="1"/>
  <c r="Q52"/>
  <c r="F52"/>
  <c r="F53" s="1"/>
  <c r="F54" s="1"/>
  <c r="BB52"/>
  <c r="F19"/>
  <c r="F20" s="1"/>
  <c r="F21" s="1"/>
  <c r="F22" s="1"/>
  <c r="F23" s="1"/>
  <c r="F24" s="1"/>
  <c r="F25" s="1"/>
  <c r="F26" s="1"/>
  <c r="F27" s="1"/>
  <c r="S19"/>
  <c r="U19" s="1"/>
  <c r="BB19"/>
  <c r="G19"/>
  <c r="G20" s="1"/>
  <c r="G21" s="1"/>
  <c r="G22" s="1"/>
  <c r="G23" s="1"/>
  <c r="G24" s="1"/>
  <c r="G25" s="1"/>
  <c r="G26" s="1"/>
  <c r="G27" s="1"/>
  <c r="Q19"/>
  <c r="E19"/>
  <c r="E20" s="1"/>
  <c r="E21" s="1"/>
  <c r="E22" s="1"/>
  <c r="E23" s="1"/>
  <c r="E24" s="1"/>
  <c r="E25" s="1"/>
  <c r="E26" s="1"/>
  <c r="E27" s="1"/>
  <c r="BD19"/>
  <c r="D31"/>
  <c r="D32" s="1"/>
  <c r="Q31"/>
  <c r="G31"/>
  <c r="G32" s="1"/>
  <c r="F31"/>
  <c r="F32" s="1"/>
  <c r="S31"/>
  <c r="U31" s="1"/>
  <c r="BD31"/>
  <c r="BB31"/>
  <c r="E31"/>
  <c r="E32" s="1"/>
  <c r="E44"/>
  <c r="E45" s="1"/>
  <c r="E46" s="1"/>
  <c r="E47" s="1"/>
  <c r="E48" s="1"/>
  <c r="E49" s="1"/>
  <c r="E50" s="1"/>
  <c r="BD44"/>
  <c r="G44"/>
  <c r="G45" s="1"/>
  <c r="G46" s="1"/>
  <c r="G47" s="1"/>
  <c r="G48" s="1"/>
  <c r="G49" s="1"/>
  <c r="G50" s="1"/>
  <c r="S44"/>
  <c r="U44" s="1"/>
  <c r="F44"/>
  <c r="F45" s="1"/>
  <c r="F46" s="1"/>
  <c r="F47" s="1"/>
  <c r="F48" s="1"/>
  <c r="F49" s="1"/>
  <c r="F50" s="1"/>
  <c r="BB44"/>
  <c r="Q44"/>
  <c r="D83"/>
  <c r="D84" s="1"/>
  <c r="E83"/>
  <c r="E84" s="1"/>
  <c r="BB83"/>
  <c r="S83"/>
  <c r="U83" s="1"/>
  <c r="BD83"/>
  <c r="G83"/>
  <c r="G84" s="1"/>
  <c r="F83"/>
  <c r="F84" s="1"/>
  <c r="Q83"/>
  <c r="G55"/>
  <c r="G56" s="1"/>
  <c r="G57" s="1"/>
  <c r="G58" s="1"/>
  <c r="G59" s="1"/>
  <c r="G60" s="1"/>
  <c r="G61" s="1"/>
  <c r="BD55"/>
  <c r="S55"/>
  <c r="U55" s="1"/>
  <c r="F55"/>
  <c r="F56" s="1"/>
  <c r="F57" s="1"/>
  <c r="F58" s="1"/>
  <c r="F59" s="1"/>
  <c r="F60" s="1"/>
  <c r="F61" s="1"/>
  <c r="Q55"/>
  <c r="E55"/>
  <c r="E56" s="1"/>
  <c r="E57" s="1"/>
  <c r="E58" s="1"/>
  <c r="E59" s="1"/>
  <c r="E60" s="1"/>
  <c r="E61" s="1"/>
  <c r="BB55"/>
  <c r="Q33"/>
  <c r="F33"/>
  <c r="F34" s="1"/>
  <c r="F35" s="1"/>
  <c r="F36" s="1"/>
  <c r="F37" s="1"/>
  <c r="F38" s="1"/>
  <c r="BB33"/>
  <c r="D33"/>
  <c r="D34" s="1"/>
  <c r="D35" s="1"/>
  <c r="D36" s="1"/>
  <c r="D37" s="1"/>
  <c r="D38" s="1"/>
  <c r="G33"/>
  <c r="G34" s="1"/>
  <c r="G35" s="1"/>
  <c r="G36" s="1"/>
  <c r="G37" s="1"/>
  <c r="G38" s="1"/>
  <c r="BD33"/>
  <c r="E33"/>
  <c r="E34" s="1"/>
  <c r="E35" s="1"/>
  <c r="E36" s="1"/>
  <c r="E37" s="1"/>
  <c r="E38" s="1"/>
  <c r="S33"/>
  <c r="U33" s="1"/>
  <c r="D15"/>
  <c r="D16" s="1"/>
  <c r="D17" s="1"/>
  <c r="BD15"/>
  <c r="G15"/>
  <c r="G16" s="1"/>
  <c r="G17" s="1"/>
  <c r="BB15"/>
  <c r="S15"/>
  <c r="C15"/>
  <c r="F15"/>
  <c r="F16" s="1"/>
  <c r="F17" s="1"/>
  <c r="E15"/>
  <c r="E16" s="1"/>
  <c r="E17" s="1"/>
  <c r="Q15"/>
  <c r="D43"/>
  <c r="D44" s="1"/>
  <c r="F43"/>
  <c r="S43"/>
  <c r="U43" s="1"/>
  <c r="BB43"/>
  <c r="G43"/>
  <c r="Q43"/>
  <c r="BD43"/>
  <c r="E43"/>
  <c r="BF82"/>
  <c r="BC18" l="1"/>
  <c r="BN18"/>
  <c r="BK18"/>
  <c r="BF18" s="1"/>
  <c r="V11"/>
  <c r="X11" s="1"/>
  <c r="U15"/>
  <c r="S11"/>
  <c r="BC73"/>
  <c r="BC15"/>
  <c r="BC33"/>
  <c r="BC44"/>
  <c r="BC51"/>
  <c r="D29"/>
  <c r="D45"/>
  <c r="BR31"/>
  <c r="BR51"/>
  <c r="BR67"/>
  <c r="BC62"/>
  <c r="U1"/>
  <c r="T1" s="1"/>
  <c r="BR73"/>
  <c r="BR39"/>
  <c r="BC43"/>
  <c r="I55"/>
  <c r="H55"/>
  <c r="I19"/>
  <c r="I52"/>
  <c r="BC39"/>
  <c r="C16"/>
  <c r="I12"/>
  <c r="BR52"/>
  <c r="BR62"/>
  <c r="BR85"/>
  <c r="BC19"/>
  <c r="H52"/>
  <c r="BC67"/>
  <c r="BR15"/>
  <c r="BR55"/>
  <c r="BR43"/>
  <c r="BR33"/>
  <c r="BR83"/>
  <c r="BR44"/>
  <c r="BR19"/>
  <c r="BR28"/>
  <c r="W1"/>
  <c r="BR1"/>
  <c r="BC55"/>
  <c r="BC83"/>
  <c r="BC31"/>
  <c r="BC52"/>
  <c r="BC85"/>
  <c r="BC28"/>
  <c r="BC1"/>
  <c r="BI18" l="1"/>
  <c r="BH18"/>
  <c r="BR11"/>
  <c r="U11"/>
  <c r="T11" s="1"/>
  <c r="B55"/>
  <c r="BN28"/>
  <c r="BK28"/>
  <c r="BN52"/>
  <c r="BK52"/>
  <c r="BK43"/>
  <c r="BN43"/>
  <c r="BN15"/>
  <c r="BK15"/>
  <c r="BK1"/>
  <c r="BN1"/>
  <c r="BK19"/>
  <c r="BN19"/>
  <c r="BK83"/>
  <c r="BN83"/>
  <c r="BN85"/>
  <c r="BK85"/>
  <c r="BN39"/>
  <c r="BK39"/>
  <c r="BN51"/>
  <c r="BK51"/>
  <c r="D30"/>
  <c r="H28" s="1"/>
  <c r="C17"/>
  <c r="C18" s="1"/>
  <c r="BK44"/>
  <c r="BN44"/>
  <c r="BK55"/>
  <c r="BN55"/>
  <c r="BN62"/>
  <c r="BK62"/>
  <c r="BN67"/>
  <c r="BK67"/>
  <c r="BK31"/>
  <c r="BN31"/>
  <c r="B52"/>
  <c r="BK33"/>
  <c r="BN33"/>
  <c r="BN73"/>
  <c r="BK73"/>
  <c r="D46"/>
  <c r="I15" l="1"/>
  <c r="BN11"/>
  <c r="BK11"/>
  <c r="H19"/>
  <c r="B19" s="1"/>
  <c r="BF83"/>
  <c r="BH83"/>
  <c r="BI83"/>
  <c r="BH1"/>
  <c r="BF1"/>
  <c r="BI1"/>
  <c r="BH43"/>
  <c r="BF43"/>
  <c r="BI43"/>
  <c r="BI67"/>
  <c r="BH67"/>
  <c r="BF67"/>
  <c r="BI73"/>
  <c r="BF73"/>
  <c r="BH73"/>
  <c r="BH31"/>
  <c r="BF31"/>
  <c r="BI31"/>
  <c r="BH44"/>
  <c r="BF44"/>
  <c r="BI44"/>
  <c r="BI39"/>
  <c r="BH39"/>
  <c r="BF39"/>
  <c r="BF28"/>
  <c r="BI28"/>
  <c r="BH28"/>
  <c r="D47"/>
  <c r="BI33"/>
  <c r="BH33"/>
  <c r="BF33"/>
  <c r="BF62"/>
  <c r="BI62"/>
  <c r="BH62"/>
  <c r="BH19"/>
  <c r="BI19"/>
  <c r="BF19"/>
  <c r="BH55"/>
  <c r="BF55"/>
  <c r="BI55"/>
  <c r="C19"/>
  <c r="BF51"/>
  <c r="BH51"/>
  <c r="BI51"/>
  <c r="BH85"/>
  <c r="BF85"/>
  <c r="BI85"/>
  <c r="BH15"/>
  <c r="BF15"/>
  <c r="BI15"/>
  <c r="BI52"/>
  <c r="BH52"/>
  <c r="BF52"/>
  <c r="C20" l="1"/>
  <c r="D48"/>
  <c r="D49" s="1"/>
  <c r="D50" s="1"/>
  <c r="I28" s="1"/>
  <c r="B28" s="1"/>
  <c r="H44" l="1"/>
  <c r="I44"/>
  <c r="C21"/>
  <c r="B44" l="1"/>
  <c r="C22"/>
  <c r="C23" l="1"/>
  <c r="C24" l="1"/>
  <c r="C25" l="1"/>
  <c r="C26" l="1"/>
  <c r="C27" l="1"/>
  <c r="C28" l="1"/>
  <c r="C29" s="1"/>
  <c r="C30" s="1"/>
  <c r="C31" s="1"/>
  <c r="C32" l="1"/>
  <c r="C33" l="1"/>
  <c r="C34" l="1"/>
  <c r="I31"/>
  <c r="C35" l="1"/>
  <c r="C36" l="1"/>
  <c r="C37" l="1"/>
  <c r="C38" l="1"/>
  <c r="C39" l="1"/>
  <c r="C40" l="1"/>
  <c r="I33"/>
  <c r="C41" l="1"/>
  <c r="C42" l="1"/>
  <c r="C43" l="1"/>
  <c r="C44" l="1"/>
  <c r="I39"/>
  <c r="C45" l="1"/>
  <c r="C46" l="1"/>
  <c r="C47" l="1"/>
  <c r="C48" l="1"/>
  <c r="C49" l="1"/>
  <c r="C50" l="1"/>
  <c r="C51" l="1"/>
  <c r="C52" l="1"/>
  <c r="C53" l="1"/>
  <c r="C54" l="1"/>
  <c r="C55" l="1"/>
  <c r="C56" l="1"/>
  <c r="C57" l="1"/>
  <c r="C58" l="1"/>
  <c r="C59" l="1"/>
  <c r="C60" s="1"/>
  <c r="C61" s="1"/>
  <c r="C62" s="1"/>
  <c r="C63" l="1"/>
  <c r="C64" l="1"/>
  <c r="C65" l="1"/>
  <c r="C66" l="1"/>
  <c r="C67" l="1"/>
  <c r="I62" s="1"/>
  <c r="C68" l="1"/>
  <c r="C69" l="1"/>
  <c r="C70" l="1"/>
  <c r="C71" l="1"/>
  <c r="C72" s="1"/>
  <c r="C73" s="1"/>
  <c r="C74" l="1"/>
  <c r="I67"/>
  <c r="C75" l="1"/>
  <c r="C76" l="1"/>
  <c r="C77" s="1"/>
  <c r="C78" s="1"/>
  <c r="C79" s="1"/>
  <c r="C80" s="1"/>
  <c r="C81" s="1"/>
  <c r="C82" s="1"/>
  <c r="C83" s="1"/>
  <c r="C84" l="1"/>
  <c r="I73"/>
  <c r="C85" l="1"/>
  <c r="C86" l="1"/>
  <c r="I83"/>
  <c r="C87" l="1"/>
  <c r="C88" l="1"/>
  <c r="I85" s="1"/>
  <c r="H12" l="1"/>
  <c r="B12" s="1"/>
  <c r="H15"/>
  <c r="B15" s="1"/>
  <c r="I18"/>
  <c r="H18"/>
  <c r="H31"/>
  <c r="B31" s="1"/>
  <c r="H33"/>
  <c r="B33" s="1"/>
  <c r="H39"/>
  <c r="B39" s="1"/>
  <c r="I43"/>
  <c r="H43"/>
  <c r="I51"/>
  <c r="H51"/>
  <c r="H62"/>
  <c r="B62" s="1"/>
  <c r="H67"/>
  <c r="B67" s="1"/>
  <c r="H73"/>
  <c r="B73" s="1"/>
  <c r="H83"/>
  <c r="B83" s="1"/>
  <c r="H85"/>
  <c r="B85" s="1"/>
  <c r="B51" l="1"/>
  <c r="B18"/>
  <c r="B43"/>
  <c r="B11" l="1"/>
  <c r="K47" i="8"/>
  <c r="K49" s="1"/>
  <c r="G44"/>
  <c r="G49" s="1"/>
  <c r="G47"/>
  <c r="H47" s="1"/>
  <c r="H49" l="1"/>
  <c r="I47"/>
  <c r="I49" s="1"/>
</calcChain>
</file>

<file path=xl/sharedStrings.xml><?xml version="1.0" encoding="utf-8"?>
<sst xmlns="http://schemas.openxmlformats.org/spreadsheetml/2006/main" count="2313" uniqueCount="408">
  <si>
    <t>Meta</t>
  </si>
  <si>
    <t>Nível 2</t>
  </si>
  <si>
    <t>Nível 3</t>
  </si>
  <si>
    <t>Nível 4</t>
  </si>
  <si>
    <t>Serviço</t>
  </si>
  <si>
    <t>Motivos das glosas</t>
  </si>
  <si>
    <t>não executado</t>
  </si>
  <si>
    <t>Período:</t>
  </si>
  <si>
    <t>Medição:</t>
  </si>
  <si>
    <t>não atende especificações</t>
  </si>
  <si>
    <t>Datas das Medições</t>
  </si>
  <si>
    <t>Anexo</t>
  </si>
  <si>
    <t>qualidade insatisfatória</t>
  </si>
  <si>
    <t>Orçamento Contratado</t>
  </si>
  <si>
    <t>Evolução Financeira (R$)</t>
  </si>
  <si>
    <t>Aferição Financeira (R$)</t>
  </si>
  <si>
    <t>Quadro de Glosas</t>
  </si>
  <si>
    <t>ver observações abaixo</t>
  </si>
  <si>
    <t>Nível</t>
  </si>
  <si>
    <t>Altura</t>
  </si>
  <si>
    <t>n1</t>
  </si>
  <si>
    <t>n2</t>
  </si>
  <si>
    <t>n3</t>
  </si>
  <si>
    <t>n4</t>
  </si>
  <si>
    <t>n5</t>
  </si>
  <si>
    <t>Czero</t>
  </si>
  <si>
    <t>Cnível</t>
  </si>
  <si>
    <t>Item</t>
  </si>
  <si>
    <t>Discriminação</t>
  </si>
  <si>
    <t>Unid.</t>
  </si>
  <si>
    <t>Qtde.</t>
  </si>
  <si>
    <t>Preço Unitário (R$)</t>
  </si>
  <si>
    <t>Preço Total
(R$)</t>
  </si>
  <si>
    <t>Acum. Anterior</t>
  </si>
  <si>
    <t>Período</t>
  </si>
  <si>
    <t>Acum. Incluindo Período</t>
  </si>
  <si>
    <t>Item orçam.</t>
  </si>
  <si>
    <t>Valor Total Glosado (R$)</t>
  </si>
  <si>
    <t>Motivo da Glosa</t>
  </si>
  <si>
    <t>TOTAL:</t>
  </si>
  <si>
    <t>SERVIÇOS PRELIMINARES</t>
  </si>
  <si>
    <t>1.1</t>
  </si>
  <si>
    <t>EXECUÇÃO DE ALMOXARIFADO EM CANTEIRO DE OBRA EM CHAPA DE MADEIRA COMPENSADA, INCLUSO PRATELEIRAS. AF_02/2016</t>
  </si>
  <si>
    <t>m²</t>
  </si>
  <si>
    <t>1.2</t>
  </si>
  <si>
    <t>PLACA DE OBRA EM CHAPA DE ACO GALVANIZADO</t>
  </si>
  <si>
    <t>DEMOLIÇÃO/RETIRADA</t>
  </si>
  <si>
    <t>2.1</t>
  </si>
  <si>
    <t>DEMOLIÇÃO DE ALVENARIA DE BLOCO FURADO, DE FORMA MANUAL, SEM REAPROVEITAMENTO. AF_12/2017</t>
  </si>
  <si>
    <t>m³</t>
  </si>
  <si>
    <t>2.2</t>
  </si>
  <si>
    <t>RETIRADA DE REVESTIMENTO EM PEDRA, GRANITO OU MÁRMORE, EM PISO</t>
  </si>
  <si>
    <t>INFRAESTRUTURA</t>
  </si>
  <si>
    <t>3.1</t>
  </si>
  <si>
    <t>VIGA BALDRAME</t>
  </si>
  <si>
    <t>3.1.1</t>
  </si>
  <si>
    <t>ESCAVAÇÃO MANUAL DE VALA COM PROFUNDIDADE MENOR OU IGUAL A 1,30 M. AF_03/2016</t>
  </si>
  <si>
    <t>3.1.2</t>
  </si>
  <si>
    <t>ESTACA BROCA DE CONCRETO, DIÂMETRO DE 20 CM, PROFUNDIDADE DE ATÉ 3 M, ESCAVAÇÃO MANUAL COM TRADO CONCHA, NÃO ARMADA. AF_03/2018</t>
  </si>
  <si>
    <t>m</t>
  </si>
  <si>
    <t>3.1.3</t>
  </si>
  <si>
    <t>LASTRO COM MATERIAL GRANULAR, APLICAÇÃO EM BLOCOS DE COROAMENTO, ESPESSURA DE *5 CM*. AF_08/2017</t>
  </si>
  <si>
    <t>3.1.4</t>
  </si>
  <si>
    <t>FABRICAÇÃO, MONTAGEM E DESMONTAGEM DE FÔRMA PARA VIGA BALDRAME, EM MADEIRA SERRADA, E=25 MM, 2 UTILIZAÇÕES. AF_06/2017</t>
  </si>
  <si>
    <t>3.1.5</t>
  </si>
  <si>
    <t>ARMAÇÃO DE BLOCO, VIGA BALDRAME OU SAPATA UTILIZANDO AÇO CA-50 DE 10 MM - MONTAGEM. AF_06/2017</t>
  </si>
  <si>
    <t>kg</t>
  </si>
  <si>
    <t>3.1.6</t>
  </si>
  <si>
    <t>ARMAÇÃO DE BLOCO, VIGA BALDRAME E SAPATA UTILIZANDO AÇO CA-60 DE 5 MM - MONTAGEM. AF_06/2017</t>
  </si>
  <si>
    <t>3.1.7</t>
  </si>
  <si>
    <t>CONCRETAGEM DE BLOCOS DE COROAMENTO E VIGAS BALDRAMES, FCK 30 MPA, COM USO DE BOMBA LANÇAMENTO, ADENSAMENTO E ACABAMENTO. AF_06/2017</t>
  </si>
  <si>
    <t>3.1.8</t>
  </si>
  <si>
    <t>REATERRO MANUAL DE VALAS COM COMPACTAÇÃO MECANIZADA. AF_04/2016</t>
  </si>
  <si>
    <t>3.2</t>
  </si>
  <si>
    <t>ALVENARIA DE EMBASAMENTO</t>
  </si>
  <si>
    <t>3.2.1</t>
  </si>
  <si>
    <t>ALVENARIA DE EMBASAMENTO EM TIJOLOS CERAMICOS MACICOS 5X10X20CM, ASSENTADO  COM ARGAMASSA TRACO 1:2:8 (CIMENTO, CAL E AREIA)</t>
  </si>
  <si>
    <t>3.2.2</t>
  </si>
  <si>
    <t>IMPERMEABILIZACAO DE ESTRUTURAS ENTERRADAS, COM TINTA ASFALTICA, DUAS DEMAOS.</t>
  </si>
  <si>
    <t>ALVENARIA</t>
  </si>
  <si>
    <t>4.1</t>
  </si>
  <si>
    <t>ALVENARIA DE VEDAÇÃO DE BLOCOS CERÂMICOS FURADOS NA VERTICAL DE 19X19X39CM(ESPESSURA 19CM) DE PAREDES COM ÁREA LÍQUIDA MAIOR OU IGUAL A 6M² SEM VÃOS E ARGAMASSA DE ASSENTAMENTO COM PREPARO EM BETONEIRA. AF_06/2014</t>
  </si>
  <si>
    <t>ESQUADRIAS</t>
  </si>
  <si>
    <t>5.1</t>
  </si>
  <si>
    <t>GRADIL EM AÇO GALVANIZADO ELETROFUNDIDO, MALHA 65 X 132 MM E PINTURA ELETROSTÁTICA</t>
  </si>
  <si>
    <t>5.2</t>
  </si>
  <si>
    <t>PORTÃO DE ABRIR EM GRADE DE AÇO GALVANIZADO ELETROFUNDIDA, MALHA 65 X 132 MM, E PINTURA ELETROSTÁTICA</t>
  </si>
  <si>
    <t>5.3</t>
  </si>
  <si>
    <t>RETIRADA DE GUARDA-CORPO OU GRADIL EM GERAL</t>
  </si>
  <si>
    <t>5.4</t>
  </si>
  <si>
    <t>REMOÇÃO DE PORTAS, DE FORMA MANUAL, SEM REAPROVEITAMENTO. AF_12/2017</t>
  </si>
  <si>
    <t>5.5</t>
  </si>
  <si>
    <t>KIT DE PORTA DE MADEIRA PARA PINTURA, SEMI-OCA (LEVE OU MÉDIA), PADRÃO MÉDIO, 90X210CM, ESPESSURA DE 3,5CM, ITENS INCLUSOS: DOBRADIÇAS, MONTAGEM E INSTALAÇÃO DO BATENTE, FECHADURA COM EXECUÇÃO DO FURO - FORNECIMENTO E INSTALAÇÃO. AF_08/2015</t>
  </si>
  <si>
    <t>unid.</t>
  </si>
  <si>
    <t>COBERTURA</t>
  </si>
  <si>
    <t>6.1</t>
  </si>
  <si>
    <t>RETIRADA DE FORRO QUALQUER EM PLACAS OU TIRAS FIXADAS</t>
  </si>
  <si>
    <t>6.2</t>
  </si>
  <si>
    <t>FORRO EM MADEIRA PINNUS, PARA AMBIENTES RESIDENCIAIS, INCLUSIVE ESTRUTURA DE FIXAÇÃO. AF_05/2017</t>
  </si>
  <si>
    <t>6.3</t>
  </si>
  <si>
    <t>ACABAMENTOS PARA FORRO (RODA-FORRO EM MADEIRA PINUS) . AF_05/2017</t>
  </si>
  <si>
    <t>INSTALAÇÕES HIDRÁULICAS</t>
  </si>
  <si>
    <t>7.1</t>
  </si>
  <si>
    <t>LOUÇAS, METAIS E APARELHOS</t>
  </si>
  <si>
    <t>7.1.1</t>
  </si>
  <si>
    <t>BACIA SIFONADA DE LOUÇA PARA PESSOAS COM MOBILIDADE REDUZIDA - CAPACIDADE DE 6 LITROS</t>
  </si>
  <si>
    <t>7.1.2</t>
  </si>
  <si>
    <t>BARRA DE APOIO RETA, PARA PESSOAS COM MOBILIDADE REDUZIDA, EM TUBO DE ALUMÍNIO, COMPRIMENTO DE 800 MM, ACABAMENTO COM PINTURA EPÓXI</t>
  </si>
  <si>
    <t>7.1.3</t>
  </si>
  <si>
    <t>PORTA-PAPEL DE LOUÇA DE EMBUTIR</t>
  </si>
  <si>
    <t>7.1.4</t>
  </si>
  <si>
    <t>LAVATÓRIO DE LOUÇA PARA CANTO SEM COLUNA PARA PESSOAS COM MOBILIDADE REDUZIDA</t>
  </si>
  <si>
    <t>7.1.5</t>
  </si>
  <si>
    <t>REMOÇÃO DE LOUÇAS, DE FORMA MANUAL, SEM REAPROVEITAMENTO. AF_12/2017</t>
  </si>
  <si>
    <t>7.1.6</t>
  </si>
  <si>
    <t>BEBEDOURO ELÉTRICO DE PRESSÃO EM AÇO INOXIDÁVEL, CAPACIDADE DE REFRIGERAÇÃO DE 06 L/H</t>
  </si>
  <si>
    <t>REVESTIMENTOS</t>
  </si>
  <si>
    <t>8.1</t>
  </si>
  <si>
    <t>PAREDES EXTERNAS</t>
  </si>
  <si>
    <t>8.1.1</t>
  </si>
  <si>
    <t>CHAPISCO APLICADO EM ALVENARIAS E ESTRUTURAS DE CONCRETO INTERNAS, COM COLHER DE PEDREIRO.  ARGAMASSA TRAÇO 1:3 COM PREPARO MANUAL. AF_06/2014</t>
  </si>
  <si>
    <t>8.1.2</t>
  </si>
  <si>
    <t>MASSA ÚNICA, PARA RECEBIMENTO DE PINTURA, EM ARGAMASSA TRAÇO 1:2:8, PREPARO MANUAL, APLICADA MANUALMENTE EM FACES INTERNAS DE PAREDES, ESPESSURA DE 20MM, COM EXECUÇÃO DE TALISCAS. AF_06/2014</t>
  </si>
  <si>
    <t>8.2</t>
  </si>
  <si>
    <t>PISOS</t>
  </si>
  <si>
    <t>8.2.1</t>
  </si>
  <si>
    <t>CONTRAPISO EM ARGAMASSA PRONTA, PREPARO MECÂNICO COM MISTURADOR 300 KG, APLICADO EM ÁREAS SECAS SOBRE LAJE, ADERIDO, ESPESSURA 3CM. AF_06/2014</t>
  </si>
  <si>
    <t>8.2.2</t>
  </si>
  <si>
    <t>DEMOLIÇÃO DE ARGAMASSAS, DE FORMA MANUAL, SEM REAPROVEITAMENTO. AF_12/2017</t>
  </si>
  <si>
    <t>8.2.3</t>
  </si>
  <si>
    <t>DEMOLIÇÃO DE REVESTIMENTO CERÂMICO, DE FORMA MANUAL, SEM REAPROVEITAMENTO. AF_12/2017</t>
  </si>
  <si>
    <t>8.2.4</t>
  </si>
  <si>
    <t>RODAPÉ CERÂMICO DE 7CM DE ALTURA COM PLACAS TIPO ESMALTADA COMERCIAL DE DIMENSÕES 35X35CM (PADRAO POPULAR). AF_06/2017</t>
  </si>
  <si>
    <t>8.2.5</t>
  </si>
  <si>
    <t>DEMOLIÇÃO DE RODAPÉ CERÂMICO, DE FORMA MANUAL, SEM REAPROVEITAMENTO. AF_12/2017</t>
  </si>
  <si>
    <t>8.2.6</t>
  </si>
  <si>
    <t>REVESTIMENTO CERÂMICO PARA PISO COM PLACAS TIPO ESMALTADA EXTRA DE DIMENSÕES 35X35 CM APLICADA EM AMBIENTES DE ÁREA MAIOR QUE 10 M2. AF_06/2014</t>
  </si>
  <si>
    <t>PINTURA</t>
  </si>
  <si>
    <t>9.1</t>
  </si>
  <si>
    <t>APLICAÇÃO MANUAL DE MASSA ACRÍLICA EM PAREDES EXTERNAS DE CASAS, DUAS DEMÃOS. AF_05/2017</t>
  </si>
  <si>
    <t>9.2</t>
  </si>
  <si>
    <t>APLICAÇÃO MANUAL DE PINTURA COM TINTA LÁTEX ACRÍLICA EM PAREDES, DUAS DEMÃOS. AF_06/2014</t>
  </si>
  <si>
    <t>9.3</t>
  </si>
  <si>
    <t>VERNIZ SINTETICO EM MADEIRA, DUAS DEMAOS</t>
  </si>
  <si>
    <t>9.4</t>
  </si>
  <si>
    <t>PINTURA ESMALTE BRILHANTE (2 DEMAOS) SOBRE SUPERFICIE METALICA, INCLUSIVE PROTECAO COM ZARCAO (1 DEMAO)</t>
  </si>
  <si>
    <t>PLAYGROUND E EQUIPAMENTO RECREATIVO</t>
  </si>
  <si>
    <t>10.1</t>
  </si>
  <si>
    <t>BANCO DE MADEIRA SOBRE ALVENARIA</t>
  </si>
  <si>
    <t>10.2</t>
  </si>
  <si>
    <t>CENTRO DE ATIVIDADES EM MADEIRA RÚSTICA</t>
  </si>
  <si>
    <t>cj</t>
  </si>
  <si>
    <t>10.3</t>
  </si>
  <si>
    <t>BALANÇO DUPLO EM MADEIRA RÚSTICA</t>
  </si>
  <si>
    <t>10.4</t>
  </si>
  <si>
    <t>GANGORRA DUPLA EM MADEIRA RÚSTICA</t>
  </si>
  <si>
    <t>10.5</t>
  </si>
  <si>
    <t>GIRA-GIRA EM FERRO COM ASSENTO DE MADEIRA (8 LUGARES)</t>
  </si>
  <si>
    <t>PAISAGISMO</t>
  </si>
  <si>
    <t>11.1</t>
  </si>
  <si>
    <t>PASSEIO EM MOSAICO PORTUGUÊS</t>
  </si>
  <si>
    <t>11.2</t>
  </si>
  <si>
    <t>POSTE TELECÔNICO EM AÇO SAE 1010/1020 GALVANIZADO A FOGO, COM ESPERA PARA UMA LUMINÁRIA, ALTURA DE 3,00 M</t>
  </si>
  <si>
    <t>11.3</t>
  </si>
  <si>
    <t>CABO DE COBRE FLEXÍVEL ISOLADO, 2,5 MM², ANTI-CHAMA 450/750 V, PARA CIRCUITOS TERMINAIS - FORNECIMENTO E INSTALAÇÃO. AF_12/2015</t>
  </si>
  <si>
    <t>11.4</t>
  </si>
  <si>
    <t>ELETRODUTO FLEXÍVEL CORRUGADO, PVC, DN 25 MM (3/4"), PARA CIRCUITOS TERMINAIS, INSTALADO EM PAREDE - FORNECIMENTO E INSTALAÇÃO. AF_12/2015</t>
  </si>
  <si>
    <t>11.5</t>
  </si>
  <si>
    <t>CAIXA DE PASSAGEM EM CHAPA, COM TAMPA PARAFUSADA, 100 X 100 X 80 MM</t>
  </si>
  <si>
    <t>11.6</t>
  </si>
  <si>
    <t>LUMINÁRIA FECHADA PARA ILUMINAÇÃO PÚBLICA TIPO PÉTALA PEQUENA</t>
  </si>
  <si>
    <t>11.7</t>
  </si>
  <si>
    <t>RECEPTÁCULO DE PORCELANA COM PARAFUSO DE FIXAÇÃO COM ROSCA E-27</t>
  </si>
  <si>
    <t>11.8</t>
  </si>
  <si>
    <t>LÂMPADA HALÓGENA REFLETORA PAR20, BASE E27 DE 50 W - 220 V</t>
  </si>
  <si>
    <t>11.9</t>
  </si>
  <si>
    <t>LUMINÁRIA BLINDADA DE SOBREPOR OU PENDENTE EM CALHA FECHADA, PARA UMA LÂMPADA FLUORESCENTE DE 32W/36W/40W</t>
  </si>
  <si>
    <t>RAMPA DE ACESSIBILIDADE</t>
  </si>
  <si>
    <t>12.1</t>
  </si>
  <si>
    <t>GUARDA-CORPO DE AÇO GALVANIZADO DE 1,10M, MONTANTES TUBULARES DE 1.1/4" ESPAÇADOS DE 1,20M, TRAVESSA SUPERIOR DE 1.1/2", GRADIL FORMADO POR TUBOS HORIZONTAIS DE 1"E VERTICAIS DE 3/4", FIXADO COM CHUMBADOR MECÂNICO. AF_04/2019_P</t>
  </si>
  <si>
    <t>SERVIÇOS COMPLEMENTARES</t>
  </si>
  <si>
    <t>13.1</t>
  </si>
  <si>
    <t>CARGA MANUAL DE ENTULHO EM CAMINHAO BASCULANTE 6 M3</t>
  </si>
  <si>
    <t>13.2</t>
  </si>
  <si>
    <t>TRANSPORTE DE ENTULHO COM CAMINHAO BASCULANTE 6 M3, RODOVIA PAVIMENTADA, DMT 0,5 A 1,0 KM</t>
  </si>
  <si>
    <t>13.3</t>
  </si>
  <si>
    <t>LIMPEZA FINAL DA OBRA</t>
  </si>
  <si>
    <t>Obs:</t>
  </si>
  <si>
    <t>Obs 2:</t>
  </si>
  <si>
    <t>Os serviços medidos informados neste BM encontram-se concluídos, estão em conformidade com os projetos e especificações aceitos pela CAIXA e foram executados de acordo com as normas técnicas.</t>
  </si>
  <si>
    <t>1. A vistoria, no caso de obras, tem como principal objetivo observar o seu estágio atual de andamento e se o que é visualizável em campo é compatível com o avanço físico do empreendimento atestado no BM da fiscalização técnica do tomador.
2. A vistoria técnica é amparada exclusivamente em constatação visual, sem qualquer apoio de instrumentos, testes e/ou ensaios e a precisão esperada das informações é compatível com essa metodologia.
3. O ateste, a medição, a fiscalização e a aceitação dos serviços realizados e materiais/equipamentos utilizados na obra são de responsabilidade do profissional indicado pelo agente promotor/tomador como Fiscal da Obra, conforme ART específica.</t>
  </si>
  <si>
    <t>Local e Data</t>
  </si>
  <si>
    <t>Resp. Técnico Fiscalização:</t>
  </si>
  <si>
    <t>Profissional CAIXA:</t>
  </si>
  <si>
    <t>CREA/CAU:</t>
  </si>
  <si>
    <t>Matrícula:</t>
  </si>
  <si>
    <t>ART/RRT:</t>
  </si>
  <si>
    <t>04/08/2020 a 03/09/2020</t>
  </si>
  <si>
    <t>BM - INSTRUÇÕES DE USO E PREENCHIMENTO</t>
  </si>
  <si>
    <t>v010</t>
  </si>
  <si>
    <r>
      <t>1. Este documento somente pode ser utilizado nas versões do Excel 2003 ou superior. Não deve ser utilizado versões do BROffice. O Documento deve ser salvo</t>
    </r>
    <r>
      <rPr>
        <b/>
        <sz val="10"/>
        <rFont val="Arial"/>
        <family val="2"/>
      </rPr>
      <t xml:space="preserve"> SOMENTE</t>
    </r>
    <r>
      <rPr>
        <sz val="10"/>
        <rFont val="Arial"/>
        <family val="2"/>
      </rPr>
      <t xml:space="preserve"> em extensão habilitada para macros</t>
    </r>
    <r>
      <rPr>
        <b/>
        <sz val="10"/>
        <rFont val="Arial"/>
        <family val="2"/>
      </rPr>
      <t xml:space="preserve"> (.xls ou .xlsm)</t>
    </r>
    <r>
      <rPr>
        <sz val="10"/>
        <rFont val="Arial"/>
        <family val="2"/>
      </rPr>
      <t xml:space="preserve">. Se o documento for salvo na extensão </t>
    </r>
    <r>
      <rPr>
        <b/>
        <sz val="10"/>
        <rFont val="Arial"/>
        <family val="2"/>
      </rPr>
      <t>.xlsx</t>
    </r>
    <r>
      <rPr>
        <sz val="10"/>
        <rFont val="Arial"/>
        <family val="2"/>
      </rPr>
      <t xml:space="preserve">, o arquivo será </t>
    </r>
    <r>
      <rPr>
        <b/>
        <sz val="10"/>
        <rFont val="Arial"/>
        <family val="2"/>
      </rPr>
      <t>INUTILIZADO.</t>
    </r>
  </si>
  <si>
    <t>2. Para funcionamento pleno desse arquivo, a Segurança de Macros do Excel deve ser habilitada.</t>
  </si>
  <si>
    <t>2.1  Na Versão Excel 2003, selecione na Faixa de Opções: Ferramentas --&gt; Macro --&gt; Segurança --&gt; Na aba Nível de Segurança selecione a Opção "Baixo" --&gt; Clique em OK --&gt; Feche e abra o Excel novamente para utilizar a Planilha.</t>
  </si>
  <si>
    <t>2.2 Na Versão Excel 2007 ou superior, selecione na Faixa de Opções: Arquivo --&gt; Opções --&gt; Central de Confiabilidade --&gt; Configurações da Central de Confiabilidade --&gt; Configurações de Macro --&gt; Habilitar todas as Macros --&gt; Clique em OK --&gt; Feche e abra o excel novamente para utilizar a Planilha.</t>
  </si>
  <si>
    <t>3. O Preenchimento deve ser feito somente nas células em amarelo. As outras células são de preenchimento Automático.</t>
  </si>
  <si>
    <t>3.1. O BM identifica automaticamente as metas e macroitens/agrupadores através da estrutura de itens indicada.</t>
  </si>
  <si>
    <t>3.2. Caso o nível reconhecido automaticamente não esteja adequado, poderá ser realizado o ajuste manual através da lista suspensa.</t>
  </si>
  <si>
    <t>4. Ordem de Preenchimento</t>
  </si>
  <si>
    <t>4.1. na Aba DADOS</t>
  </si>
  <si>
    <t>4.1.1. Preencha no Quadro abaixo os Dados do TC/CR:</t>
  </si>
  <si>
    <t>Nº OPERAÇÃO</t>
  </si>
  <si>
    <t>Nº SICONV</t>
  </si>
  <si>
    <t>GESTOR</t>
  </si>
  <si>
    <t>PROGRAMA</t>
  </si>
  <si>
    <t>AÇÃO / MODALIDADE</t>
  </si>
  <si>
    <t>RECURSO</t>
  </si>
  <si>
    <t>1059623-77</t>
  </si>
  <si>
    <t>051873/2018</t>
  </si>
  <si>
    <t>MTUR</t>
  </si>
  <si>
    <t>TURISMO</t>
  </si>
  <si>
    <t>PROGRAMA TURISMO</t>
  </si>
  <si>
    <t>OGU</t>
  </si>
  <si>
    <t>PROPONENTE / TOMADOR</t>
  </si>
  <si>
    <t>MUNICÍPIO / UF</t>
  </si>
  <si>
    <t>LOCALIDADE / ENDEREÇO</t>
  </si>
  <si>
    <t>APELIDO DO EMPREENDIMENTO</t>
  </si>
  <si>
    <t>MUNICIPIO DE PARANAPANEMA</t>
  </si>
  <si>
    <t>SP</t>
  </si>
  <si>
    <t>RUA MANOEL DOMINGUES LEITE N° 496</t>
  </si>
  <si>
    <t>REFORMA MUSEU</t>
  </si>
  <si>
    <t>4.1.2. Preencha no Quadro abaixo os Dados do CTEF:</t>
  </si>
  <si>
    <t>Nº CTEF</t>
  </si>
  <si>
    <t>EMPRESA EXECUTORA</t>
  </si>
  <si>
    <t>CNPJ</t>
  </si>
  <si>
    <t>OBJETO DO CTEF</t>
  </si>
  <si>
    <t>INÍCIO DA OBRA</t>
  </si>
  <si>
    <t>20/2020</t>
  </si>
  <si>
    <t>CR4 ENGENHARIA E TERRAPLANAGEM EIRELI</t>
  </si>
  <si>
    <t>22.154.415/0001-52</t>
  </si>
  <si>
    <t>OBRA DE REFORMA DO MUSEU DONA GUITA</t>
  </si>
  <si>
    <t>4.1.3 Selecione abaixo, o regime de Execução do CTEF:</t>
  </si>
  <si>
    <t>REGIME DE EXECUÇÃO</t>
  </si>
  <si>
    <t>Empreitada Preço Unitário</t>
  </si>
  <si>
    <t>4.1.3. Preencha no Quadro abaixo os Dados do Responsável Técnico pela elaboração do Boletim de Medição:</t>
  </si>
  <si>
    <t>Nome:</t>
  </si>
  <si>
    <t>PAULO RICARDO GORDIANO</t>
  </si>
  <si>
    <t>5070336292</t>
  </si>
  <si>
    <t>28027230200149600</t>
  </si>
  <si>
    <r>
      <t>4.1.4.</t>
    </r>
    <r>
      <rPr>
        <b/>
        <sz val="10"/>
        <rFont val="Arial"/>
        <family val="2"/>
      </rPr>
      <t xml:space="preserve"> [Opcional]</t>
    </r>
    <r>
      <rPr>
        <sz val="10"/>
        <rFont val="Arial"/>
        <family val="2"/>
      </rPr>
      <t xml:space="preserve"> Preencha no quadro abaixo se houver mais de um Responsável Técnico pela elaboração do Boletim de Medição:</t>
    </r>
  </si>
  <si>
    <r>
      <t xml:space="preserve">4.2. Os dados do orçamento contratado devem ser informados nos campos em amarelo claro da aba </t>
    </r>
    <r>
      <rPr>
        <i/>
        <sz val="10"/>
        <rFont val="Arial"/>
        <family val="2"/>
      </rPr>
      <t>BM</t>
    </r>
    <r>
      <rPr>
        <sz val="10"/>
        <rFont val="Arial"/>
        <family val="2"/>
      </rPr>
      <t>.</t>
    </r>
  </si>
  <si>
    <t>4.2.1. Para Regime de Empreitada Global ou Integral, devem ser informados somente o Item, Discriminação e Preço Total. Para Regime de Empreitada por Preço Unitário, Tarefa ou Contratação Integrada, informar o Item, Discriminação, Unidade, Quantidade e Preço Unitário.</t>
  </si>
  <si>
    <r>
      <t xml:space="preserve">4.2.2. É possível importar automaticamente o orçamento do MO27476 (Planilha Orçamentária – PO) por meio do botão </t>
    </r>
    <r>
      <rPr>
        <i/>
        <sz val="10"/>
        <rFont val="Arial"/>
        <family val="2"/>
      </rPr>
      <t>Importar PO</t>
    </r>
    <r>
      <rPr>
        <sz val="10"/>
        <rFont val="Arial"/>
        <family val="2"/>
      </rPr>
      <t xml:space="preserve"> na aba </t>
    </r>
    <r>
      <rPr>
        <i/>
        <sz val="10"/>
        <rFont val="Arial"/>
        <family val="2"/>
      </rPr>
      <t>Dados</t>
    </r>
    <r>
      <rPr>
        <sz val="10"/>
        <rFont val="Arial"/>
        <family val="2"/>
      </rPr>
      <t>.</t>
    </r>
  </si>
  <si>
    <r>
      <t xml:space="preserve">4.2.3. Os dados também podem ser copiados para o BM utilizando-se o recurso </t>
    </r>
    <r>
      <rPr>
        <b/>
        <sz val="10"/>
        <color rgb="FFFF0000"/>
        <rFont val="Arial Rounded MT Bold"/>
        <family val="2"/>
      </rPr>
      <t xml:space="preserve">Colar Especial → </t>
    </r>
    <r>
      <rPr>
        <b/>
        <u/>
        <sz val="10"/>
        <color rgb="FFFF0000"/>
        <rFont val="Arial Rounded MT Bold"/>
        <family val="2"/>
      </rPr>
      <t>Colar Valores</t>
    </r>
  </si>
  <si>
    <r>
      <t xml:space="preserve">4.2.4. Podem ser adicionadas ou excluídas linhas do BM por meio do botão </t>
    </r>
    <r>
      <rPr>
        <i/>
        <sz val="10"/>
        <rFont val="Arial"/>
        <family val="2"/>
      </rPr>
      <t>Editar Planilha.</t>
    </r>
  </si>
  <si>
    <t>4.2.5. O orçamento está adequado para receber estrutura de itens com até 4 níveis (meta, nível 2, nível 3 e nível 4) e um nível de serviços.</t>
  </si>
  <si>
    <r>
      <rPr>
        <sz val="10"/>
        <rFont val="Arial"/>
        <family val="2"/>
      </rPr>
      <t xml:space="preserve">4.2.6. </t>
    </r>
    <r>
      <rPr>
        <u/>
        <sz val="10"/>
        <rFont val="Arial"/>
        <family val="2"/>
      </rPr>
      <t>Observação importante:</t>
    </r>
    <r>
      <rPr>
        <sz val="10"/>
        <rFont val="Arial"/>
        <family val="2"/>
      </rPr>
      <t xml:space="preserve"> as linhas de metas e macrosserviços (totalizadores) não devem conter dados nas colunas </t>
    </r>
    <r>
      <rPr>
        <i/>
        <sz val="10"/>
        <rFont val="Arial"/>
        <family val="2"/>
      </rPr>
      <t>Unid., Qtde. e Preço Unitário</t>
    </r>
    <r>
      <rPr>
        <sz val="10"/>
        <rFont val="Arial"/>
        <family val="2"/>
      </rPr>
      <t>.</t>
    </r>
  </si>
  <si>
    <t>4.2.7. Caso o nível reconhecido automaticamente não esteja coerente, deverá ser realizada adequação manual através da lista.</t>
  </si>
  <si>
    <r>
      <t xml:space="preserve">4.2.8. Caso </t>
    </r>
    <r>
      <rPr>
        <b/>
        <sz val="10"/>
        <rFont val="Arial"/>
        <family val="2"/>
      </rPr>
      <t>não tenha sido considerado</t>
    </r>
    <r>
      <rPr>
        <sz val="10"/>
        <rFont val="Arial"/>
        <family val="2"/>
      </rPr>
      <t xml:space="preserve"> arrendondamento em algum campo do orçamento, o profissional </t>
    </r>
    <r>
      <rPr>
        <b/>
        <sz val="10"/>
        <rFont val="Arial"/>
        <family val="2"/>
      </rPr>
      <t>deverá desmarcar</t>
    </r>
    <r>
      <rPr>
        <sz val="10"/>
        <rFont val="Arial"/>
        <family val="2"/>
      </rPr>
      <t xml:space="preserve"> a caixa de seleção logo acima da referente coluna ("Quantidade", "Preço Unitário" e "Preço Total").</t>
    </r>
  </si>
  <si>
    <t>4.3. A cada medição devem ser seguidos os seguintes passos:</t>
  </si>
  <si>
    <r>
      <t>·</t>
    </r>
    <r>
      <rPr>
        <sz val="10"/>
        <rFont val="Times New Roman"/>
        <family val="1"/>
      </rPr>
      <t xml:space="preserve">         </t>
    </r>
    <r>
      <rPr>
        <sz val="10"/>
        <rFont val="Arial"/>
        <family val="2"/>
      </rPr>
      <t xml:space="preserve">Informar o número da medição no campo </t>
    </r>
    <r>
      <rPr>
        <i/>
        <sz val="10"/>
        <rFont val="Arial"/>
        <family val="2"/>
      </rPr>
      <t>Medição</t>
    </r>
    <r>
      <rPr>
        <sz val="10"/>
        <rFont val="Arial"/>
        <family val="2"/>
      </rPr>
      <t>;</t>
    </r>
  </si>
  <si>
    <r>
      <t>·</t>
    </r>
    <r>
      <rPr>
        <sz val="10"/>
        <rFont val="Times New Roman"/>
        <family val="1"/>
      </rPr>
      <t xml:space="preserve">         </t>
    </r>
    <r>
      <rPr>
        <sz val="10"/>
        <rFont val="Arial"/>
        <family val="2"/>
      </rPr>
      <t xml:space="preserve">Informar a data da medição no campo superior da respectiva coluna no quadro lateral (Medição </t>
    </r>
    <r>
      <rPr>
        <i/>
        <sz val="10"/>
        <rFont val="Arial"/>
        <family val="2"/>
      </rPr>
      <t>xx</t>
    </r>
    <r>
      <rPr>
        <sz val="10"/>
        <rFont val="Arial"/>
        <family val="2"/>
      </rPr>
      <t>);</t>
    </r>
  </si>
  <si>
    <r>
      <t>·</t>
    </r>
    <r>
      <rPr>
        <sz val="10"/>
        <rFont val="Times New Roman"/>
        <family val="1"/>
      </rPr>
      <t xml:space="preserve">         </t>
    </r>
    <r>
      <rPr>
        <sz val="10"/>
        <rFont val="Arial"/>
        <family val="2"/>
      </rPr>
      <t xml:space="preserve">Para os regimes </t>
    </r>
    <r>
      <rPr>
        <i/>
        <sz val="10"/>
        <rFont val="Arial"/>
        <family val="2"/>
      </rPr>
      <t>Empreitada por Preço Unitário, Tarefa, Contratação Integrada</t>
    </r>
    <r>
      <rPr>
        <sz val="10"/>
        <rFont val="Arial"/>
        <family val="2"/>
      </rPr>
      <t xml:space="preserve"> e </t>
    </r>
    <r>
      <rPr>
        <i/>
        <sz val="10"/>
        <rFont val="Arial"/>
        <family val="2"/>
      </rPr>
      <t>Administração Direta</t>
    </r>
    <r>
      <rPr>
        <sz val="10"/>
        <rFont val="Arial"/>
        <family val="2"/>
      </rPr>
      <t xml:space="preserve">: preencher a </t>
    </r>
    <r>
      <rPr>
        <u/>
        <sz val="10"/>
        <rFont val="Arial"/>
        <family val="2"/>
      </rPr>
      <t>quantidade executada no período</t>
    </r>
    <r>
      <rPr>
        <sz val="10"/>
        <rFont val="Arial"/>
        <family val="2"/>
      </rPr>
      <t xml:space="preserve"> para cada serviço na coluna da respectiva medição no quadro lateral;</t>
    </r>
  </si>
  <si>
    <r>
      <t>·</t>
    </r>
    <r>
      <rPr>
        <sz val="10"/>
        <rFont val="Times New Roman"/>
        <family val="1"/>
      </rPr>
      <t xml:space="preserve">         </t>
    </r>
    <r>
      <rPr>
        <sz val="10"/>
        <rFont val="Arial"/>
        <family val="2"/>
      </rPr>
      <t xml:space="preserve">Para </t>
    </r>
    <r>
      <rPr>
        <i/>
        <sz val="10"/>
        <rFont val="Arial"/>
        <family val="2"/>
      </rPr>
      <t>Empreitada por Preço Global ou Integral</t>
    </r>
    <r>
      <rPr>
        <sz val="10"/>
        <rFont val="Arial"/>
        <family val="2"/>
      </rPr>
      <t xml:space="preserve">: preencher o </t>
    </r>
    <r>
      <rPr>
        <u/>
        <sz val="10"/>
        <rFont val="Arial"/>
        <family val="2"/>
      </rPr>
      <t>percentual executado no período</t>
    </r>
    <r>
      <rPr>
        <sz val="10"/>
        <rFont val="Arial"/>
        <family val="2"/>
      </rPr>
      <t xml:space="preserve"> para cada serviço na coluna da respectiva medição no quadro lateral.</t>
    </r>
  </si>
  <si>
    <r>
      <t>·</t>
    </r>
    <r>
      <rPr>
        <sz val="10"/>
        <rFont val="Times New Roman"/>
        <family val="1"/>
      </rPr>
      <t xml:space="preserve">         </t>
    </r>
    <r>
      <rPr>
        <sz val="10"/>
        <rFont val="Arial"/>
        <family val="2"/>
      </rPr>
      <t>Caso seja necessário um número maior de medições que o constante no quadro (24 medições) ou caso o arquivo seja utilizado para empreendimentos já em execução, deverá ser alterado o número da medição da primeira coluna, devendo ser preenchido com o número da última medição aferida e indicando a evolução acumulada até o período na respectiva coluna. As medições futuras seguirão o procedimento padrão.</t>
    </r>
  </si>
  <si>
    <r>
      <t xml:space="preserve">4.4. Nas medições em que </t>
    </r>
    <r>
      <rPr>
        <u/>
        <sz val="10"/>
        <rFont val="Arial"/>
        <family val="2"/>
      </rPr>
      <t>não</t>
    </r>
    <r>
      <rPr>
        <sz val="10"/>
        <rFont val="Arial"/>
        <family val="2"/>
      </rPr>
      <t xml:space="preserve"> houver evolução de determinado serviço, é facultada a manutenção do campo vazio ou preechimento com 0 (zero).</t>
    </r>
  </si>
  <si>
    <r>
      <t xml:space="preserve">4.5. Para cada medição (conforme nº informado no campo </t>
    </r>
    <r>
      <rPr>
        <i/>
        <sz val="10"/>
        <rFont val="Arial"/>
        <family val="2"/>
      </rPr>
      <t>Medição</t>
    </r>
    <r>
      <rPr>
        <sz val="10"/>
        <rFont val="Arial"/>
        <family val="2"/>
      </rPr>
      <t>), os valores da coluna correspondente à medição em questão são apresentados no BM, que calcula os demais dados de evolução física (qtde ou %) e evolução financeira (R$).</t>
    </r>
  </si>
  <si>
    <r>
      <t xml:space="preserve">Grau de Sigilo
</t>
    </r>
    <r>
      <rPr>
        <b/>
        <sz val="9"/>
        <color rgb="FF000000"/>
        <rFont val="Arial"/>
        <family val="2"/>
      </rPr>
      <t>#PUBLICO</t>
    </r>
  </si>
  <si>
    <t>Realizado Acumulado: 12,48%</t>
  </si>
  <si>
    <t>Número de linhas do BM: 77</t>
  </si>
  <si>
    <t>BM - BOLETIM DE MEDIÇÃO</t>
  </si>
  <si>
    <t>Paranapanema, 15 de outubro de 2020</t>
  </si>
  <si>
    <t>03/09/2020 a 03/10/2020</t>
  </si>
  <si>
    <t>Realizado Acumulado: 17,02%</t>
  </si>
  <si>
    <t>04/10/2020 a 03/12/2020</t>
  </si>
  <si>
    <t>Realizado Acumulado: 23,80%</t>
  </si>
  <si>
    <t xml:space="preserve">PROGRAMA  </t>
  </si>
  <si>
    <t>59623-77</t>
  </si>
  <si>
    <t>875975/2018</t>
  </si>
  <si>
    <t>MDR</t>
  </si>
  <si>
    <t>OGU não-PAC</t>
  </si>
  <si>
    <t xml:space="preserve">PROPONENTE / TOMADOR </t>
  </si>
  <si>
    <t>MUNICÍPIO/UF</t>
  </si>
  <si>
    <t xml:space="preserve">Municipio de Paranapanema      </t>
  </si>
  <si>
    <t>Paranapanema/SP</t>
  </si>
  <si>
    <t>INICIO DA OBRA</t>
  </si>
  <si>
    <t xml:space="preserve">OBRA DE REFORMA DO MUSEU DONA GUITA </t>
  </si>
  <si>
    <r>
      <t xml:space="preserve">Grau de Sigilo
</t>
    </r>
    <r>
      <rPr>
        <b/>
        <sz val="11"/>
        <color indexed="8"/>
        <rFont val="Times New Roman"/>
        <family val="1"/>
      </rPr>
      <t>#PUBLICO</t>
    </r>
  </si>
  <si>
    <t>Paranapanema, 16  de Dezembro de 2020</t>
  </si>
  <si>
    <t>Realizado Acumulado: 33,08%</t>
  </si>
  <si>
    <t>03/12/2020 a 03/01/2021</t>
  </si>
  <si>
    <t>Financeiro</t>
  </si>
  <si>
    <t>Executado</t>
  </si>
  <si>
    <t>1.</t>
  </si>
  <si>
    <t>2.</t>
  </si>
  <si>
    <t>3.</t>
  </si>
  <si>
    <t>4.</t>
  </si>
  <si>
    <t>5.</t>
  </si>
  <si>
    <t>6.</t>
  </si>
  <si>
    <t>7.</t>
  </si>
  <si>
    <t>8.</t>
  </si>
  <si>
    <t>Total</t>
  </si>
  <si>
    <t>Código</t>
  </si>
  <si>
    <t>04.04.020</t>
  </si>
  <si>
    <t>Fonte</t>
  </si>
  <si>
    <t>CDHU</t>
  </si>
  <si>
    <t>44.03.080</t>
  </si>
  <si>
    <t>43.01.012</t>
  </si>
  <si>
    <t>Purificador de pressão elétrico em chapa eletrozincado pré-pintada e tampo em aço inoxidável, tipo coluna, capacidade de refrigeração de 2 l/h - simples</t>
  </si>
  <si>
    <t>Preço Unitário com BDI (R$)</t>
  </si>
  <si>
    <t>SINAPI</t>
  </si>
  <si>
    <t>PINTURA VERNIZ (INCOLOR) ALQUÍDICO EM MADEIRA, USO INTERNO E EXTERNO, 2 DEMÃOS. AF_01/2021</t>
  </si>
  <si>
    <t>35.04.130</t>
  </si>
  <si>
    <t>35.05.200</t>
  </si>
  <si>
    <t>35.05.210</t>
  </si>
  <si>
    <t>35.05.220</t>
  </si>
  <si>
    <t>35.05.240</t>
  </si>
  <si>
    <t>54.07.040</t>
  </si>
  <si>
    <t>41.10.400</t>
  </si>
  <si>
    <t>40.02.020</t>
  </si>
  <si>
    <t>41.11.060</t>
  </si>
  <si>
    <t>41.04.020</t>
  </si>
  <si>
    <t>41.06.100</t>
  </si>
  <si>
    <t>41.13.040</t>
  </si>
  <si>
    <t>55.01.020</t>
  </si>
  <si>
    <t>Saldo</t>
  </si>
  <si>
    <t>74106/1</t>
  </si>
  <si>
    <t>74209/1</t>
  </si>
  <si>
    <t>34.05.260</t>
  </si>
  <si>
    <t>34.05.290</t>
  </si>
  <si>
    <t>04.09.100</t>
  </si>
  <si>
    <t>04.07.020</t>
  </si>
  <si>
    <t>30.08.060</t>
  </si>
  <si>
    <t>30.01.080</t>
  </si>
  <si>
    <t>30.08.040</t>
  </si>
  <si>
    <t>SINAPI-I</t>
  </si>
  <si>
    <t>14.01.020</t>
  </si>
  <si>
    <t>***</t>
  </si>
  <si>
    <t>4.2</t>
  </si>
  <si>
    <t>6.4</t>
  </si>
  <si>
    <t>6.5</t>
  </si>
  <si>
    <t>PO - PLANILHA ORÇAMENTÁRIA</t>
  </si>
  <si>
    <t>Reforma no Museu</t>
  </si>
  <si>
    <t>LOCALIDADE SINAPI</t>
  </si>
  <si>
    <t>DATA BASE</t>
  </si>
  <si>
    <t>Reforma Museu Dona Guita</t>
  </si>
  <si>
    <t>Nível Corrigido</t>
  </si>
  <si>
    <t>Descrição</t>
  </si>
  <si>
    <t>Unidade</t>
  </si>
  <si>
    <t>Quantidade</t>
  </si>
  <si>
    <t>Preço Unitário (com BDI) (R$)</t>
  </si>
  <si>
    <t>LOTE</t>
  </si>
  <si>
    <t>CONSTRUÇÃO E REFORMA NO MUSEU DONA GUITA</t>
  </si>
  <si>
    <t>Nivel 2</t>
  </si>
  <si>
    <t>Encargos sociais:</t>
  </si>
  <si>
    <t>Para elaboração deste orçamento, foram utilizados os encargos sociais do SINAPI para a Unidade da Federação indicada.</t>
  </si>
  <si>
    <t>Observações:</t>
  </si>
  <si>
    <t>Local</t>
  </si>
  <si>
    <t>Responsável Técnico</t>
  </si>
  <si>
    <t>Paulo Ricardo Gordiano</t>
  </si>
  <si>
    <t>CREA: 5070336292</t>
  </si>
  <si>
    <t>Data</t>
  </si>
  <si>
    <t>ART: 28027230200149600</t>
  </si>
  <si>
    <t>BDI 1</t>
  </si>
  <si>
    <t>PURIFICADOR DE PRESSÃO ELÉTRICO EM CHAPA ELETROZINCADO PRÉ-PINTADA E TAMPO EM AÇO INOXIDÁVEL, TIPO COLUNA, CAPACIDADE DE REFRIGERAÇÃO DE 2 L/H - SIMPLES</t>
  </si>
  <si>
    <t>SECRETARIA MUNICIPAL DE OBRAS</t>
  </si>
  <si>
    <t>DEPARTAMENTO DE ENGENHARIA</t>
  </si>
  <si>
    <t>CRONOGRAMA FÍSICO-FINANCEIRO</t>
  </si>
  <si>
    <t>DESCRIÇÃO DO LOTE</t>
  </si>
  <si>
    <t>Construção e Reforma</t>
  </si>
  <si>
    <t>Valor (R$)</t>
  </si>
  <si>
    <t>Parcelas:</t>
  </si>
  <si>
    <t>REFORMA MUSEU DONA GUITA</t>
  </si>
  <si>
    <t>% Período</t>
  </si>
  <si>
    <t>São Paulo</t>
  </si>
  <si>
    <t>Total:</t>
  </si>
  <si>
    <t>%:</t>
  </si>
  <si>
    <t>Repasse:</t>
  </si>
  <si>
    <t>Contrapartida:</t>
  </si>
  <si>
    <t>Outros:</t>
  </si>
  <si>
    <t>Investimento:</t>
  </si>
  <si>
    <t>Mês 1</t>
  </si>
  <si>
    <t>Mês 2</t>
  </si>
  <si>
    <t>Mês 3</t>
  </si>
  <si>
    <t>Mês 4</t>
  </si>
  <si>
    <t>Mês 5</t>
  </si>
  <si>
    <t>Mês 6</t>
  </si>
  <si>
    <t>PLACA DE OBRA (PARA CONSTRUCAO CIVIL) EM CHAPA GALVANIZADA *N. 22*, ADESIVADA, DE *2,0 X 1,125* M</t>
  </si>
  <si>
    <t>4.1.1</t>
  </si>
  <si>
    <t>4.1.2</t>
  </si>
  <si>
    <t>4.2.1</t>
  </si>
  <si>
    <t>4.2.2</t>
  </si>
  <si>
    <t>7.2</t>
  </si>
  <si>
    <t>7.3</t>
  </si>
  <si>
    <t>7.4</t>
  </si>
  <si>
    <t>7.5</t>
  </si>
  <si>
    <t>7.6</t>
  </si>
  <si>
    <t>7.7</t>
  </si>
  <si>
    <t>7.8</t>
  </si>
  <si>
    <t>7.9</t>
  </si>
  <si>
    <t>O saldo dos ítens 4.1 e 13.3 não haverão necessidade de serem executados.</t>
  </si>
  <si>
    <t>*</t>
  </si>
  <si>
    <t>O item 9.2 será glosado em 88,72 m² referentes ao restante do muro que não será executado</t>
  </si>
  <si>
    <t>07-21 S/ Desoneração</t>
  </si>
  <si>
    <t>SINAPI - I</t>
  </si>
  <si>
    <t>Planilha contratada</t>
  </si>
  <si>
    <t>Sexta, 24 de Setembro de 2021</t>
  </si>
  <si>
    <t>ESTÂNCIA TURÍSTICA D PARANAPANEMA, 24 DE SETEMBRO 2021</t>
  </si>
  <si>
    <t>Paranapanema, 24 de Setembro de 2021</t>
  </si>
</sst>
</file>

<file path=xl/styles.xml><?xml version="1.0" encoding="utf-8"?>
<styleSheet xmlns="http://schemas.openxmlformats.org/spreadsheetml/2006/main">
  <numFmts count="11"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_-* #,##0.00_-;\-* #,##0.00_-;_-* &quot;&quot;??_-;_-@_-"/>
    <numFmt numFmtId="167" formatCode="dd/mm/yy;@"/>
    <numFmt numFmtId="168" formatCode="00"/>
    <numFmt numFmtId="169" formatCode="&quot;Medição &quot;##"/>
    <numFmt numFmtId="170" formatCode="0######&quot;-&quot;##&quot;/&quot;####"/>
    <numFmt numFmtId="171" formatCode="0######&quot;/&quot;####"/>
    <numFmt numFmtId="172" formatCode="##&quot;.&quot;###&quot;.&quot;###&quot;/&quot;000#&quot;-&quot;##"/>
    <numFmt numFmtId="173" formatCode="mmm\-yy;@"/>
    <numFmt numFmtId="174" formatCode="_(&quot;R$ &quot;* #,##0.00_);_(&quot;R$ &quot;* \(#,##0.00\);_(&quot;R$ &quot;* &quot;-&quot;??_);_(@_)"/>
  </numFmts>
  <fonts count="52">
    <font>
      <sz val="10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FFFFFF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i/>
      <sz val="10"/>
      <name val="Arial"/>
      <family val="2"/>
    </font>
    <font>
      <b/>
      <sz val="10"/>
      <color rgb="FFFF0000"/>
      <name val="Arial Rounded MT Bold"/>
      <family val="2"/>
    </font>
    <font>
      <b/>
      <u/>
      <sz val="10"/>
      <color rgb="FFFF0000"/>
      <name val="Arial Rounded MT Bold"/>
      <family val="2"/>
    </font>
    <font>
      <u/>
      <sz val="10"/>
      <name val="Arial"/>
      <family val="2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C0C0C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1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rgb="FF000000"/>
      <name val="Times New Roman"/>
      <family val="1"/>
    </font>
    <font>
      <sz val="11"/>
      <color rgb="FFFFFFFF"/>
      <name val="Times New Roman"/>
      <family val="1"/>
    </font>
    <font>
      <sz val="11"/>
      <color rgb="FFC0C0C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sz val="18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Arial"/>
      <family val="2"/>
    </font>
    <font>
      <b/>
      <sz val="10"/>
      <name val="Times New Roman"/>
      <family val="1"/>
    </font>
    <font>
      <b/>
      <sz val="14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08080"/>
        <bgColor rgb="FF000000"/>
      </patternFill>
    </fill>
    <fill>
      <patternFill patternType="lightUp">
        <fgColor rgb="FF000000"/>
        <bgColor rgb="FFFFFFFF"/>
      </patternFill>
    </fill>
    <fill>
      <patternFill patternType="solid">
        <fgColor rgb="FFFFFFA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darkUp">
        <fgColor theme="0" tint="-0.2499465926084170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4" fontId="39" fillId="0" borderId="0" applyFont="0" applyFill="0" applyBorder="0" applyAlignment="0" applyProtection="0"/>
    <xf numFmtId="0" fontId="2" fillId="0" borderId="0"/>
  </cellStyleXfs>
  <cellXfs count="844">
    <xf numFmtId="0" fontId="0" fillId="0" borderId="0" xfId="0"/>
    <xf numFmtId="4" fontId="2" fillId="0" borderId="4" xfId="0" applyNumberFormat="1" applyFont="1" applyFill="1" applyBorder="1" applyAlignment="1" applyProtection="1">
      <alignment shrinkToFit="1"/>
    </xf>
    <xf numFmtId="165" fontId="2" fillId="0" borderId="2" xfId="1" applyNumberFormat="1" applyFont="1" applyFill="1" applyBorder="1" applyAlignment="1" applyProtection="1">
      <alignment horizontal="center"/>
    </xf>
    <xf numFmtId="165" fontId="2" fillId="0" borderId="3" xfId="1" applyNumberFormat="1" applyFont="1" applyFill="1" applyBorder="1" applyAlignment="1" applyProtection="1">
      <alignment horizontal="center"/>
    </xf>
    <xf numFmtId="165" fontId="2" fillId="0" borderId="5" xfId="1" applyNumberFormat="1" applyFont="1" applyFill="1" applyBorder="1" applyAlignment="1" applyProtection="1">
      <alignment horizontal="center"/>
    </xf>
    <xf numFmtId="165" fontId="2" fillId="0" borderId="2" xfId="1" applyFont="1" applyFill="1" applyBorder="1" applyAlignment="1" applyProtection="1"/>
    <xf numFmtId="165" fontId="2" fillId="0" borderId="3" xfId="1" applyFont="1" applyFill="1" applyBorder="1" applyAlignment="1" applyProtection="1"/>
    <xf numFmtId="165" fontId="2" fillId="0" borderId="5" xfId="1" applyFont="1" applyFill="1" applyBorder="1" applyAlignment="1" applyProtection="1"/>
    <xf numFmtId="165" fontId="2" fillId="0" borderId="3" xfId="1" applyFont="1" applyFill="1" applyBorder="1" applyAlignment="1" applyProtection="1">
      <alignment horizontal="center"/>
    </xf>
    <xf numFmtId="165" fontId="2" fillId="0" borderId="6" xfId="1" applyFont="1" applyFill="1" applyBorder="1" applyAlignment="1" applyProtection="1">
      <alignment horizontal="center" shrinkToFit="1"/>
    </xf>
    <xf numFmtId="165" fontId="2" fillId="0" borderId="3" xfId="1" applyFont="1" applyFill="1" applyBorder="1" applyAlignment="1" applyProtection="1">
      <alignment shrinkToFit="1"/>
    </xf>
    <xf numFmtId="165" fontId="2" fillId="0" borderId="4" xfId="1" applyFont="1" applyFill="1" applyBorder="1" applyAlignment="1" applyProtection="1">
      <alignment shrinkToFit="1"/>
    </xf>
    <xf numFmtId="0" fontId="2" fillId="0" borderId="7" xfId="0" applyFont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Font="1" applyBorder="1" applyProtection="1"/>
    <xf numFmtId="49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Font="1" applyBorder="1"/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top" wrapText="1"/>
    </xf>
    <xf numFmtId="167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/>
    <xf numFmtId="167" fontId="5" fillId="0" borderId="0" xfId="0" applyNumberFormat="1" applyFont="1" applyFill="1" applyBorder="1" applyAlignment="1" applyProtection="1">
      <alignment horizontal="right" wrapText="1"/>
    </xf>
    <xf numFmtId="0" fontId="5" fillId="0" borderId="0" xfId="0" applyFont="1" applyFill="1" applyBorder="1" applyAlignment="1" applyProtection="1">
      <alignment horizontal="right"/>
    </xf>
    <xf numFmtId="168" fontId="7" fillId="0" borderId="10" xfId="0" applyNumberFormat="1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vertical="top" wrapText="1"/>
    </xf>
    <xf numFmtId="167" fontId="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/>
    </xf>
    <xf numFmtId="0" fontId="2" fillId="0" borderId="17" xfId="0" applyFont="1" applyFill="1" applyBorder="1" applyProtection="1"/>
    <xf numFmtId="0" fontId="4" fillId="0" borderId="18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169" fontId="5" fillId="0" borderId="19" xfId="0" applyNumberFormat="1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right" vertical="center"/>
    </xf>
    <xf numFmtId="0" fontId="0" fillId="0" borderId="19" xfId="0" applyFont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2" fillId="0" borderId="18" xfId="0" applyFont="1" applyFill="1" applyBorder="1" applyAlignment="1" applyProtection="1">
      <alignment horizontal="right" vertical="center"/>
    </xf>
    <xf numFmtId="0" fontId="0" fillId="0" borderId="18" xfId="0" applyFont="1" applyBorder="1" applyAlignment="1" applyProtection="1">
      <alignment vertical="center" wrapText="1"/>
    </xf>
    <xf numFmtId="0" fontId="0" fillId="0" borderId="19" xfId="0" applyFont="1" applyBorder="1" applyAlignment="1" applyProtection="1">
      <alignment vertical="center" wrapText="1"/>
    </xf>
    <xf numFmtId="0" fontId="0" fillId="0" borderId="0" xfId="0" applyFont="1" applyBorder="1" applyAlignment="1" applyProtection="1"/>
    <xf numFmtId="0" fontId="0" fillId="0" borderId="25" xfId="0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/>
    </xf>
    <xf numFmtId="3" fontId="0" fillId="2" borderId="26" xfId="0" applyNumberFormat="1" applyFont="1" applyFill="1" applyBorder="1" applyAlignment="1" applyProtection="1">
      <alignment horizontal="left"/>
    </xf>
    <xf numFmtId="0" fontId="0" fillId="0" borderId="0" xfId="0" applyFont="1" applyBorder="1"/>
    <xf numFmtId="0" fontId="0" fillId="0" borderId="0" xfId="0" applyFont="1" applyBorder="1" applyProtection="1"/>
    <xf numFmtId="3" fontId="0" fillId="2" borderId="11" xfId="0" applyNumberFormat="1" applyFont="1" applyFill="1" applyBorder="1" applyAlignment="1" applyProtection="1">
      <alignment horizontal="left"/>
    </xf>
    <xf numFmtId="0" fontId="4" fillId="0" borderId="28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0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Protection="1"/>
    <xf numFmtId="0" fontId="2" fillId="0" borderId="0" xfId="0" applyFont="1" applyFill="1" applyBorder="1" applyAlignment="1" applyProtection="1">
      <alignment horizontal="left" wrapText="1" indent="2"/>
    </xf>
    <xf numFmtId="0" fontId="0" fillId="0" borderId="0" xfId="0" applyFont="1" applyBorder="1" applyAlignment="1" applyProtection="1">
      <alignment horizontal="left" indent="2"/>
    </xf>
    <xf numFmtId="0" fontId="5" fillId="0" borderId="9" xfId="3" applyFont="1" applyBorder="1" applyAlignment="1" applyProtection="1">
      <alignment vertical="top"/>
    </xf>
    <xf numFmtId="0" fontId="5" fillId="0" borderId="9" xfId="3" applyFont="1" applyBorder="1" applyAlignment="1" applyProtection="1">
      <alignment horizontal="left" vertical="top"/>
    </xf>
    <xf numFmtId="0" fontId="9" fillId="0" borderId="0" xfId="0" applyFont="1" applyBorder="1" applyProtection="1"/>
    <xf numFmtId="0" fontId="10" fillId="0" borderId="0" xfId="0" applyFont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center"/>
    </xf>
    <xf numFmtId="0" fontId="9" fillId="0" borderId="0" xfId="0" applyFont="1" applyBorder="1"/>
    <xf numFmtId="170" fontId="2" fillId="3" borderId="10" xfId="0" applyNumberFormat="1" applyFont="1" applyFill="1" applyBorder="1" applyAlignment="1" applyProtection="1">
      <alignment horizontal="left" vertical="top" wrapText="1"/>
      <protection locked="0"/>
    </xf>
    <xf numFmtId="171" fontId="0" fillId="3" borderId="10" xfId="0" applyNumberFormat="1" applyFont="1" applyFill="1" applyBorder="1" applyAlignment="1" applyProtection="1">
      <alignment horizontal="left" vertical="top" wrapText="1"/>
      <protection locked="0"/>
    </xf>
    <xf numFmtId="0" fontId="0" fillId="3" borderId="10" xfId="0" applyFont="1" applyFill="1" applyBorder="1" applyAlignment="1" applyProtection="1">
      <alignment horizontal="left" vertical="top" wrapText="1"/>
      <protection locked="0"/>
    </xf>
    <xf numFmtId="167" fontId="2" fillId="3" borderId="10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9" fillId="0" borderId="0" xfId="0" applyFont="1" applyFill="1" applyBorder="1" applyProtection="1"/>
    <xf numFmtId="0" fontId="0" fillId="3" borderId="10" xfId="0" applyFont="1" applyFill="1" applyBorder="1" applyAlignment="1" applyProtection="1">
      <alignment vertical="top" wrapText="1"/>
      <protection locked="0"/>
    </xf>
    <xf numFmtId="0" fontId="0" fillId="0" borderId="0" xfId="0" applyFont="1" applyFill="1" applyBorder="1" applyAlignment="1" applyProtection="1">
      <alignment horizontal="left" vertical="top" wrapText="1"/>
    </xf>
    <xf numFmtId="4" fontId="0" fillId="0" borderId="0" xfId="0" applyNumberFormat="1" applyFont="1" applyFill="1" applyBorder="1" applyAlignment="1" applyProtection="1">
      <alignment vertical="top" wrapText="1"/>
      <protection locked="0"/>
    </xf>
    <xf numFmtId="0" fontId="0" fillId="0" borderId="0" xfId="0" applyFont="1" applyFill="1" applyBorder="1"/>
    <xf numFmtId="0" fontId="2" fillId="0" borderId="0" xfId="0" applyFont="1" applyFill="1" applyBorder="1" applyAlignment="1" applyProtection="1">
      <alignment horizontal="left" indent="2"/>
    </xf>
    <xf numFmtId="0" fontId="11" fillId="0" borderId="9" xfId="0" applyFont="1" applyBorder="1" applyAlignment="1" applyProtection="1"/>
    <xf numFmtId="0" fontId="5" fillId="0" borderId="9" xfId="0" applyFont="1" applyBorder="1" applyAlignment="1" applyProtection="1"/>
    <xf numFmtId="0" fontId="11" fillId="0" borderId="9" xfId="0" applyFont="1" applyBorder="1" applyAlignment="1" applyProtection="1">
      <alignment horizontal="center"/>
    </xf>
    <xf numFmtId="49" fontId="0" fillId="3" borderId="10" xfId="0" applyNumberFormat="1" applyFont="1" applyFill="1" applyBorder="1" applyAlignment="1" applyProtection="1">
      <protection locked="0"/>
    </xf>
    <xf numFmtId="172" fontId="2" fillId="3" borderId="10" xfId="0" applyNumberFormat="1" applyFont="1" applyFill="1" applyBorder="1" applyAlignment="1" applyProtection="1">
      <alignment horizontal="left" vertical="top" wrapText="1"/>
      <protection locked="0"/>
    </xf>
    <xf numFmtId="14" fontId="0" fillId="3" borderId="1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/>
    <xf numFmtId="14" fontId="12" fillId="0" borderId="0" xfId="0" applyNumberFormat="1" applyFont="1" applyFill="1" applyBorder="1" applyAlignment="1" applyProtection="1">
      <alignment vertical="top" wrapText="1"/>
    </xf>
    <xf numFmtId="0" fontId="0" fillId="0" borderId="0" xfId="0" applyFont="1" applyBorder="1" applyAlignment="1"/>
    <xf numFmtId="0" fontId="13" fillId="0" borderId="0" xfId="0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center"/>
    </xf>
    <xf numFmtId="49" fontId="0" fillId="3" borderId="10" xfId="0" applyNumberFormat="1" applyFont="1" applyFill="1" applyBorder="1" applyAlignment="1" applyProtection="1">
      <alignment horizontal="left"/>
      <protection locked="0"/>
    </xf>
    <xf numFmtId="0" fontId="14" fillId="0" borderId="0" xfId="0" applyFont="1" applyFill="1" applyBorder="1" applyProtection="1"/>
    <xf numFmtId="0" fontId="2" fillId="0" borderId="0" xfId="0" applyFont="1" applyFill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13" fillId="0" borderId="0" xfId="0" applyFont="1" applyFill="1" applyBorder="1" applyAlignment="1" applyProtection="1">
      <alignment horizontal="left" vertical="top" wrapText="1"/>
    </xf>
    <xf numFmtId="4" fontId="13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left"/>
    </xf>
    <xf numFmtId="0" fontId="2" fillId="0" borderId="0" xfId="3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left" indent="2"/>
    </xf>
    <xf numFmtId="172" fontId="13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1" fillId="0" borderId="0" xfId="3" applyFont="1" applyFill="1" applyBorder="1" applyAlignment="1" applyProtection="1">
      <alignment vertical="top"/>
    </xf>
    <xf numFmtId="168" fontId="13" fillId="0" borderId="0" xfId="0" applyNumberFormat="1" applyFont="1" applyFill="1" applyBorder="1" applyAlignment="1" applyProtection="1">
      <alignment horizontal="left" vertical="top" wrapText="1"/>
    </xf>
    <xf numFmtId="14" fontId="13" fillId="0" borderId="0" xfId="0" applyNumberFormat="1" applyFont="1" applyFill="1" applyBorder="1" applyAlignment="1" applyProtection="1">
      <alignment horizontal="center" vertical="top" wrapText="1"/>
    </xf>
    <xf numFmtId="10" fontId="13" fillId="0" borderId="0" xfId="2" applyNumberFormat="1" applyFont="1" applyFill="1" applyBorder="1" applyAlignment="1" applyProtection="1">
      <alignment horizontal="left" vertical="top" wrapText="1"/>
    </xf>
    <xf numFmtId="0" fontId="2" fillId="0" borderId="0" xfId="3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left" wrapText="1" indent="1"/>
    </xf>
    <xf numFmtId="0" fontId="0" fillId="0" borderId="0" xfId="0" applyFont="1" applyFill="1" applyBorder="1" applyAlignment="1" applyProtection="1">
      <alignment horizontal="left" indent="1"/>
    </xf>
    <xf numFmtId="0" fontId="0" fillId="0" borderId="0" xfId="0" applyFont="1" applyFill="1" applyBorder="1" applyAlignment="1" applyProtection="1">
      <alignment horizontal="left" indent="2"/>
    </xf>
    <xf numFmtId="10" fontId="2" fillId="0" borderId="0" xfId="2" applyNumberFormat="1" applyFont="1" applyFill="1" applyBorder="1" applyAlignment="1" applyProtection="1">
      <alignment horizontal="left"/>
    </xf>
    <xf numFmtId="0" fontId="1" fillId="3" borderId="1" xfId="0" applyNumberFormat="1" applyFont="1" applyFill="1" applyBorder="1" applyAlignment="1" applyProtection="1">
      <alignment vertical="center" wrapText="1"/>
      <protection locked="0"/>
    </xf>
    <xf numFmtId="0" fontId="2" fillId="3" borderId="2" xfId="0" quotePrefix="1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165" fontId="2" fillId="3" borderId="3" xfId="1" applyFont="1" applyFill="1" applyBorder="1" applyAlignment="1" applyProtection="1">
      <alignment shrinkToFit="1"/>
      <protection locked="0"/>
    </xf>
    <xf numFmtId="165" fontId="2" fillId="3" borderId="3" xfId="1" applyFont="1" applyFill="1" applyBorder="1" applyAlignment="1" applyProtection="1">
      <protection locked="0"/>
    </xf>
    <xf numFmtId="4" fontId="2" fillId="3" borderId="4" xfId="0" applyNumberFormat="1" applyFont="1" applyFill="1" applyBorder="1" applyAlignment="1" applyProtection="1">
      <alignment shrinkToFit="1"/>
      <protection locked="0"/>
    </xf>
    <xf numFmtId="0" fontId="14" fillId="0" borderId="0" xfId="0" applyFont="1" applyBorder="1" applyProtection="1"/>
    <xf numFmtId="165" fontId="2" fillId="3" borderId="2" xfId="1" applyFont="1" applyFill="1" applyBorder="1" applyProtection="1">
      <protection locked="0"/>
    </xf>
    <xf numFmtId="165" fontId="2" fillId="3" borderId="3" xfId="1" applyFont="1" applyFill="1" applyBorder="1" applyProtection="1">
      <protection locked="0"/>
    </xf>
    <xf numFmtId="165" fontId="2" fillId="3" borderId="4" xfId="1" applyFont="1" applyFill="1" applyBorder="1" applyProtection="1">
      <protection locked="0"/>
    </xf>
    <xf numFmtId="165" fontId="2" fillId="4" borderId="2" xfId="1" applyFont="1" applyFill="1" applyBorder="1" applyAlignment="1" applyProtection="1">
      <alignment horizontal="center"/>
      <protection locked="0"/>
    </xf>
    <xf numFmtId="165" fontId="2" fillId="4" borderId="4" xfId="1" applyFont="1" applyFill="1" applyBorder="1" applyAlignment="1" applyProtection="1">
      <alignment horizontal="center"/>
      <protection locked="0"/>
    </xf>
    <xf numFmtId="0" fontId="21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center" vertical="center"/>
    </xf>
    <xf numFmtId="168" fontId="7" fillId="3" borderId="10" xfId="0" applyNumberFormat="1" applyFont="1" applyFill="1" applyBorder="1" applyAlignment="1" applyProtection="1">
      <alignment horizontal="center" wrapText="1"/>
      <protection locked="0"/>
    </xf>
    <xf numFmtId="14" fontId="14" fillId="0" borderId="0" xfId="0" applyNumberFormat="1" applyFont="1" applyFill="1" applyBorder="1" applyAlignment="1" applyProtection="1">
      <alignment horizontal="center"/>
    </xf>
    <xf numFmtId="0" fontId="24" fillId="0" borderId="0" xfId="0" applyFont="1" applyFill="1" applyBorder="1" applyProtection="1"/>
    <xf numFmtId="167" fontId="25" fillId="0" borderId="0" xfId="0" applyNumberFormat="1" applyFont="1" applyFill="1" applyBorder="1" applyAlignment="1" applyProtection="1">
      <alignment horizontal="center" vertical="center" wrapText="1"/>
    </xf>
    <xf numFmtId="0" fontId="5" fillId="5" borderId="13" xfId="0" applyFont="1" applyFill="1" applyBorder="1" applyAlignment="1" applyProtection="1"/>
    <xf numFmtId="0" fontId="5" fillId="5" borderId="14" xfId="0" applyFont="1" applyFill="1" applyBorder="1" applyAlignment="1" applyProtection="1"/>
    <xf numFmtId="0" fontId="5" fillId="5" borderId="15" xfId="0" applyFont="1" applyFill="1" applyBorder="1" applyAlignment="1" applyProtection="1"/>
    <xf numFmtId="0" fontId="5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/>
    </xf>
    <xf numFmtId="14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/>
    </xf>
    <xf numFmtId="169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3" xfId="0" applyFont="1" applyFill="1" applyBorder="1" applyAlignment="1" applyProtection="1">
      <alignment horizontal="center" vertical="center" wrapText="1"/>
    </xf>
    <xf numFmtId="0" fontId="0" fillId="7" borderId="13" xfId="0" applyFont="1" applyFill="1" applyBorder="1" applyAlignment="1" applyProtection="1">
      <alignment horizontal="center"/>
    </xf>
    <xf numFmtId="165" fontId="4" fillId="7" borderId="19" xfId="1" applyFont="1" applyFill="1" applyBorder="1" applyAlignment="1" applyProtection="1">
      <alignment horizontal="center"/>
    </xf>
    <xf numFmtId="165" fontId="4" fillId="7" borderId="19" xfId="2" applyNumberFormat="1" applyFont="1" applyFill="1" applyBorder="1" applyAlignment="1" applyProtection="1">
      <alignment horizontal="center" vertical="center" wrapText="1"/>
    </xf>
    <xf numFmtId="165" fontId="4" fillId="7" borderId="19" xfId="1" applyFont="1" applyFill="1" applyBorder="1" applyAlignment="1" applyProtection="1">
      <alignment horizontal="center" vertical="center" wrapText="1"/>
    </xf>
    <xf numFmtId="165" fontId="4" fillId="7" borderId="15" xfId="1" applyFont="1" applyFill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center"/>
    </xf>
    <xf numFmtId="0" fontId="11" fillId="7" borderId="13" xfId="0" applyFont="1" applyFill="1" applyBorder="1" applyAlignment="1" applyProtection="1"/>
    <xf numFmtId="0" fontId="11" fillId="7" borderId="14" xfId="0" applyFont="1" applyFill="1" applyBorder="1" applyAlignment="1" applyProtection="1"/>
    <xf numFmtId="0" fontId="11" fillId="7" borderId="15" xfId="0" applyFont="1" applyFill="1" applyBorder="1" applyAlignment="1" applyProtection="1"/>
    <xf numFmtId="0" fontId="5" fillId="7" borderId="20" xfId="0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49" fontId="2" fillId="3" borderId="3" xfId="0" applyNumberFormat="1" applyFont="1" applyFill="1" applyBorder="1" applyAlignment="1" applyProtection="1">
      <alignment horizontal="left" vertical="top" wrapText="1"/>
      <protection locked="0"/>
    </xf>
    <xf numFmtId="0" fontId="14" fillId="8" borderId="11" xfId="0" applyFont="1" applyFill="1" applyBorder="1" applyAlignment="1" applyProtection="1">
      <alignment horizontal="left" vertical="top"/>
    </xf>
    <xf numFmtId="0" fontId="14" fillId="8" borderId="18" xfId="0" applyFont="1" applyFill="1" applyBorder="1" applyAlignment="1" applyProtection="1">
      <alignment horizontal="justify" vertical="top" wrapText="1"/>
    </xf>
    <xf numFmtId="0" fontId="14" fillId="8" borderId="18" xfId="0" applyFont="1" applyFill="1" applyBorder="1" applyAlignment="1" applyProtection="1"/>
    <xf numFmtId="0" fontId="14" fillId="8" borderId="18" xfId="0" applyFont="1" applyFill="1" applyBorder="1" applyAlignment="1" applyProtection="1">
      <alignment horizontal="center" wrapText="1"/>
    </xf>
    <xf numFmtId="0" fontId="14" fillId="8" borderId="21" xfId="0" applyFont="1" applyFill="1" applyBorder="1" applyAlignment="1" applyProtection="1"/>
    <xf numFmtId="0" fontId="14" fillId="8" borderId="18" xfId="0" applyFont="1" applyFill="1" applyBorder="1" applyAlignment="1" applyProtection="1">
      <alignment horizontal="center"/>
    </xf>
    <xf numFmtId="0" fontId="14" fillId="8" borderId="21" xfId="0" applyFont="1" applyFill="1" applyBorder="1" applyAlignment="1" applyProtection="1">
      <alignment horizontal="center"/>
    </xf>
    <xf numFmtId="0" fontId="14" fillId="8" borderId="12" xfId="0" applyFont="1" applyFill="1" applyBorder="1" applyAlignment="1" applyProtection="1"/>
    <xf numFmtId="0" fontId="14" fillId="8" borderId="22" xfId="0" applyFont="1" applyFill="1" applyBorder="1" applyAlignment="1" applyProtection="1"/>
    <xf numFmtId="0" fontId="14" fillId="8" borderId="22" xfId="0" applyFont="1" applyFill="1" applyBorder="1" applyAlignment="1" applyProtection="1">
      <alignment horizontal="center"/>
    </xf>
    <xf numFmtId="0" fontId="14" fillId="8" borderId="18" xfId="0" applyFont="1" applyFill="1" applyBorder="1" applyAlignment="1" applyProtection="1">
      <protection locked="0"/>
    </xf>
    <xf numFmtId="0" fontId="14" fillId="8" borderId="21" xfId="0" applyFont="1" applyFill="1" applyBorder="1" applyAlignment="1" applyProtection="1">
      <alignment horizontal="center"/>
      <protection locked="0"/>
    </xf>
    <xf numFmtId="0" fontId="14" fillId="8" borderId="22" xfId="0" applyFont="1" applyFill="1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0" fillId="0" borderId="18" xfId="0" applyFont="1" applyFill="1" applyBorder="1" applyAlignment="1">
      <alignment horizontal="center" vertical="center"/>
    </xf>
    <xf numFmtId="0" fontId="9" fillId="0" borderId="0" xfId="0" applyFont="1" applyBorder="1" applyAlignment="1" applyProtection="1"/>
    <xf numFmtId="0" fontId="0" fillId="0" borderId="0" xfId="0" applyFont="1" applyBorder="1" applyAlignment="1" applyProtection="1">
      <alignment horizontal="right"/>
    </xf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5" xfId="0" applyFont="1" applyBorder="1" applyAlignment="1" applyProtection="1">
      <alignment horizontal="right" vertical="center"/>
    </xf>
    <xf numFmtId="0" fontId="14" fillId="8" borderId="22" xfId="0" applyFont="1" applyFill="1" applyBorder="1" applyProtection="1"/>
    <xf numFmtId="0" fontId="5" fillId="0" borderId="15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 applyFill="1" applyBorder="1" applyAlignment="1" applyProtection="1">
      <alignment horizontal="left" vertical="center" indent="17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7" fillId="0" borderId="16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6" xfId="0" applyFont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17" xfId="0" applyFont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9" borderId="11" xfId="0" applyFont="1" applyFill="1" applyBorder="1" applyAlignment="1">
      <alignment vertical="center"/>
    </xf>
    <xf numFmtId="0" fontId="27" fillId="9" borderId="18" xfId="0" applyFont="1" applyFill="1" applyBorder="1" applyAlignment="1">
      <alignment vertical="center"/>
    </xf>
    <xf numFmtId="0" fontId="28" fillId="9" borderId="11" xfId="0" applyFont="1" applyFill="1" applyBorder="1" applyAlignment="1">
      <alignment horizontal="left" vertical="center"/>
    </xf>
    <xf numFmtId="0" fontId="28" fillId="9" borderId="18" xfId="0" applyFont="1" applyFill="1" applyBorder="1" applyAlignment="1">
      <alignment vertical="center"/>
    </xf>
    <xf numFmtId="0" fontId="27" fillId="9" borderId="12" xfId="0" applyFont="1" applyFill="1" applyBorder="1" applyAlignment="1">
      <alignment vertical="center"/>
    </xf>
    <xf numFmtId="0" fontId="28" fillId="0" borderId="16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17" xfId="0" applyFont="1" applyBorder="1" applyAlignment="1">
      <alignment horizontal="left" vertical="center"/>
    </xf>
    <xf numFmtId="0" fontId="29" fillId="9" borderId="11" xfId="0" applyNumberFormat="1" applyFont="1" applyFill="1" applyBorder="1" applyAlignment="1" applyProtection="1">
      <alignment horizontal="left" vertical="center"/>
    </xf>
    <xf numFmtId="0" fontId="30" fillId="9" borderId="12" xfId="0" applyNumberFormat="1" applyFont="1" applyFill="1" applyBorder="1" applyAlignment="1" applyProtection="1">
      <alignment horizontal="left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0" fillId="0" borderId="17" xfId="0" applyNumberFormat="1" applyFont="1" applyFill="1" applyBorder="1" applyAlignment="1" applyProtection="1">
      <alignment vertical="center"/>
    </xf>
    <xf numFmtId="0" fontId="30" fillId="0" borderId="0" xfId="0" applyNumberFormat="1" applyFont="1" applyFill="1" applyBorder="1" applyAlignment="1" applyProtection="1">
      <alignment vertical="center"/>
    </xf>
    <xf numFmtId="0" fontId="29" fillId="9" borderId="11" xfId="0" applyNumberFormat="1" applyFont="1" applyFill="1" applyBorder="1" applyAlignment="1" applyProtection="1">
      <alignment horizontal="center" vertical="center"/>
    </xf>
    <xf numFmtId="0" fontId="29" fillId="9" borderId="12" xfId="0" applyNumberFormat="1" applyFont="1" applyFill="1" applyBorder="1" applyAlignment="1" applyProtection="1">
      <alignment horizontal="center" vertical="center"/>
    </xf>
    <xf numFmtId="0" fontId="29" fillId="9" borderId="12" xfId="0" applyNumberFormat="1" applyFont="1" applyFill="1" applyBorder="1" applyAlignment="1" applyProtection="1">
      <alignment horizontal="left" vertical="center"/>
    </xf>
    <xf numFmtId="0" fontId="29" fillId="9" borderId="11" xfId="0" applyNumberFormat="1" applyFont="1" applyFill="1" applyBorder="1" applyAlignment="1" applyProtection="1">
      <alignment vertical="center"/>
    </xf>
    <xf numFmtId="0" fontId="29" fillId="9" borderId="18" xfId="0" applyNumberFormat="1" applyFont="1" applyFill="1" applyBorder="1" applyAlignment="1" applyProtection="1">
      <alignment vertical="center"/>
    </xf>
    <xf numFmtId="0" fontId="29" fillId="9" borderId="12" xfId="0" applyNumberFormat="1" applyFont="1" applyFill="1" applyBorder="1" applyAlignment="1" applyProtection="1">
      <alignment vertical="center"/>
    </xf>
    <xf numFmtId="0" fontId="27" fillId="0" borderId="0" xfId="0" applyFont="1" applyBorder="1"/>
    <xf numFmtId="0" fontId="27" fillId="0" borderId="0" xfId="0" applyFont="1" applyBorder="1" applyAlignment="1" applyProtection="1">
      <alignment vertical="center"/>
    </xf>
    <xf numFmtId="0" fontId="27" fillId="0" borderId="0" xfId="0" applyFont="1" applyFill="1" applyBorder="1" applyAlignment="1" applyProtection="1">
      <alignment horizontal="left" vertical="center"/>
    </xf>
    <xf numFmtId="0" fontId="27" fillId="0" borderId="18" xfId="0" applyFont="1" applyFill="1" applyBorder="1" applyAlignment="1">
      <alignment vertical="center"/>
    </xf>
    <xf numFmtId="0" fontId="30" fillId="0" borderId="18" xfId="0" applyFont="1" applyFill="1" applyBorder="1" applyAlignment="1" applyProtection="1">
      <alignment horizontal="right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Border="1" applyAlignment="1" applyProtection="1">
      <alignment vertical="center" wrapText="1"/>
    </xf>
    <xf numFmtId="0" fontId="27" fillId="0" borderId="18" xfId="0" applyFont="1" applyFill="1" applyBorder="1" applyAlignment="1">
      <alignment horizontal="center" vertical="center"/>
    </xf>
    <xf numFmtId="0" fontId="27" fillId="0" borderId="18" xfId="0" applyFont="1" applyBorder="1" applyAlignment="1" applyProtection="1">
      <alignment vertical="center" wrapText="1"/>
    </xf>
    <xf numFmtId="0" fontId="27" fillId="0" borderId="19" xfId="0" applyFont="1" applyBorder="1" applyAlignment="1" applyProtection="1">
      <alignment vertical="center" wrapText="1"/>
    </xf>
    <xf numFmtId="0" fontId="27" fillId="0" borderId="0" xfId="0" applyFont="1" applyBorder="1" applyProtection="1"/>
    <xf numFmtId="0" fontId="27" fillId="0" borderId="0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/>
    </xf>
    <xf numFmtId="0" fontId="27" fillId="0" borderId="0" xfId="0" applyFont="1" applyBorder="1" applyAlignment="1" applyProtection="1">
      <alignment horizontal="right" vertical="center"/>
    </xf>
    <xf numFmtId="0" fontId="27" fillId="0" borderId="25" xfId="0" applyFont="1" applyBorder="1" applyAlignment="1" applyProtection="1">
      <alignment horizontal="right" vertical="center"/>
    </xf>
    <xf numFmtId="0" fontId="27" fillId="0" borderId="0" xfId="0" applyFont="1" applyBorder="1" applyAlignment="1" applyProtection="1">
      <alignment horizontal="right" vertical="center" wrapText="1"/>
    </xf>
    <xf numFmtId="0" fontId="30" fillId="0" borderId="0" xfId="0" applyFont="1" applyFill="1" applyBorder="1" applyAlignment="1" applyProtection="1">
      <alignment vertical="center"/>
    </xf>
    <xf numFmtId="0" fontId="29" fillId="0" borderId="18" xfId="0" applyFont="1" applyBorder="1" applyAlignment="1" applyProtection="1">
      <alignment vertical="center" wrapText="1"/>
    </xf>
    <xf numFmtId="0" fontId="29" fillId="0" borderId="12" xfId="0" applyFont="1" applyBorder="1" applyAlignment="1" applyProtection="1">
      <alignment vertical="center" wrapText="1"/>
    </xf>
    <xf numFmtId="165" fontId="29" fillId="7" borderId="19" xfId="1" applyFont="1" applyFill="1" applyBorder="1" applyAlignment="1" applyProtection="1">
      <alignment horizontal="center"/>
    </xf>
    <xf numFmtId="165" fontId="29" fillId="7" borderId="19" xfId="1" applyFont="1" applyFill="1" applyBorder="1" applyAlignment="1" applyProtection="1">
      <alignment horizontal="center" vertical="center" wrapText="1"/>
    </xf>
    <xf numFmtId="165" fontId="29" fillId="7" borderId="19" xfId="2" applyNumberFormat="1" applyFont="1" applyFill="1" applyBorder="1" applyAlignment="1" applyProtection="1">
      <alignment horizontal="center" vertical="center" wrapText="1"/>
    </xf>
    <xf numFmtId="165" fontId="29" fillId="7" borderId="15" xfId="1" applyFont="1" applyFill="1" applyBorder="1" applyAlignment="1" applyProtection="1">
      <alignment vertical="center" wrapText="1"/>
    </xf>
    <xf numFmtId="0" fontId="30" fillId="0" borderId="0" xfId="0" applyFont="1" applyBorder="1" applyProtection="1"/>
    <xf numFmtId="0" fontId="30" fillId="0" borderId="0" xfId="0" applyFont="1" applyFill="1" applyBorder="1" applyProtection="1"/>
    <xf numFmtId="0" fontId="29" fillId="0" borderId="0" xfId="0" applyFont="1" applyFill="1" applyBorder="1" applyAlignment="1" applyProtection="1">
      <alignment horizontal="right"/>
    </xf>
    <xf numFmtId="14" fontId="35" fillId="0" borderId="0" xfId="0" applyNumberFormat="1" applyFont="1" applyFill="1" applyBorder="1" applyAlignment="1" applyProtection="1">
      <alignment horizontal="center"/>
    </xf>
    <xf numFmtId="168" fontId="29" fillId="0" borderId="10" xfId="0" applyNumberFormat="1" applyFont="1" applyFill="1" applyBorder="1" applyAlignment="1" applyProtection="1">
      <alignment horizontal="center" wrapText="1"/>
    </xf>
    <xf numFmtId="0" fontId="36" fillId="0" borderId="0" xfId="0" applyFont="1" applyFill="1" applyBorder="1" applyProtection="1"/>
    <xf numFmtId="167" fontId="30" fillId="0" borderId="0" xfId="0" applyNumberFormat="1" applyFont="1" applyFill="1" applyBorder="1" applyAlignment="1" applyProtection="1">
      <alignment horizontal="center" vertical="center" wrapText="1"/>
    </xf>
    <xf numFmtId="167" fontId="37" fillId="0" borderId="0" xfId="0" applyNumberFormat="1" applyFont="1" applyFill="1" applyBorder="1" applyAlignment="1" applyProtection="1">
      <alignment horizontal="center" vertical="center" wrapText="1"/>
    </xf>
    <xf numFmtId="0" fontId="29" fillId="5" borderId="14" xfId="0" applyFont="1" applyFill="1" applyBorder="1" applyAlignment="1" applyProtection="1"/>
    <xf numFmtId="0" fontId="29" fillId="5" borderId="15" xfId="0" applyFont="1" applyFill="1" applyBorder="1" applyAlignment="1" applyProtection="1"/>
    <xf numFmtId="0" fontId="29" fillId="0" borderId="0" xfId="0" applyFont="1" applyFill="1" applyBorder="1" applyAlignment="1" applyProtection="1">
      <alignment vertical="center"/>
    </xf>
    <xf numFmtId="0" fontId="30" fillId="0" borderId="17" xfId="0" applyFont="1" applyFill="1" applyBorder="1" applyProtection="1"/>
    <xf numFmtId="0" fontId="29" fillId="0" borderId="0" xfId="0" applyFont="1" applyBorder="1" applyAlignment="1" applyProtection="1">
      <alignment vertical="center" wrapText="1"/>
    </xf>
    <xf numFmtId="0" fontId="38" fillId="0" borderId="0" xfId="0" applyFont="1" applyBorder="1" applyAlignment="1" applyProtection="1">
      <alignment vertical="center"/>
    </xf>
    <xf numFmtId="14" fontId="29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9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169" fontId="29" fillId="3" borderId="19" xfId="0" applyNumberFormat="1" applyFont="1" applyFill="1" applyBorder="1" applyAlignment="1" applyProtection="1">
      <alignment horizontal="center" vertical="center" wrapText="1"/>
      <protection locked="0"/>
    </xf>
    <xf numFmtId="169" fontId="29" fillId="0" borderId="19" xfId="0" applyNumberFormat="1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center"/>
    </xf>
    <xf numFmtId="0" fontId="29" fillId="6" borderId="13" xfId="0" applyFont="1" applyFill="1" applyBorder="1" applyAlignment="1" applyProtection="1">
      <alignment horizontal="center" vertical="center" wrapText="1"/>
    </xf>
    <xf numFmtId="0" fontId="38" fillId="7" borderId="14" xfId="0" applyFont="1" applyFill="1" applyBorder="1" applyAlignment="1" applyProtection="1"/>
    <xf numFmtId="0" fontId="38" fillId="7" borderId="15" xfId="0" applyFont="1" applyFill="1" applyBorder="1" applyAlignment="1" applyProtection="1"/>
    <xf numFmtId="0" fontId="29" fillId="7" borderId="20" xfId="0" applyFont="1" applyFill="1" applyBorder="1" applyAlignment="1" applyProtection="1">
      <alignment horizontal="center"/>
    </xf>
    <xf numFmtId="0" fontId="30" fillId="3" borderId="1" xfId="0" applyNumberFormat="1" applyFont="1" applyFill="1" applyBorder="1" applyAlignment="1" applyProtection="1">
      <alignment vertical="center" wrapText="1"/>
      <protection locked="0"/>
    </xf>
    <xf numFmtId="0" fontId="35" fillId="0" borderId="0" xfId="0" applyFont="1" applyBorder="1" applyProtection="1"/>
    <xf numFmtId="165" fontId="30" fillId="3" borderId="3" xfId="1" applyFont="1" applyFill="1" applyBorder="1" applyProtection="1">
      <protection locked="0"/>
    </xf>
    <xf numFmtId="165" fontId="30" fillId="3" borderId="4" xfId="1" applyFont="1" applyFill="1" applyBorder="1" applyProtection="1">
      <protection locked="0"/>
    </xf>
    <xf numFmtId="165" fontId="30" fillId="4" borderId="2" xfId="1" applyFont="1" applyFill="1" applyBorder="1" applyAlignment="1" applyProtection="1">
      <alignment horizontal="center"/>
      <protection locked="0"/>
    </xf>
    <xf numFmtId="165" fontId="30" fillId="0" borderId="3" xfId="1" applyFont="1" applyFill="1" applyBorder="1" applyAlignment="1" applyProtection="1">
      <alignment horizontal="center"/>
    </xf>
    <xf numFmtId="165" fontId="30" fillId="4" borderId="4" xfId="1" applyFont="1" applyFill="1" applyBorder="1" applyAlignment="1" applyProtection="1">
      <alignment horizontal="center"/>
      <protection locked="0"/>
    </xf>
    <xf numFmtId="165" fontId="30" fillId="0" borderId="6" xfId="1" applyFont="1" applyFill="1" applyBorder="1" applyAlignment="1" applyProtection="1">
      <alignment horizontal="center" shrinkToFit="1"/>
    </xf>
    <xf numFmtId="165" fontId="30" fillId="0" borderId="3" xfId="1" applyFont="1" applyFill="1" applyBorder="1" applyAlignment="1" applyProtection="1">
      <alignment shrinkToFit="1"/>
    </xf>
    <xf numFmtId="165" fontId="30" fillId="0" borderId="4" xfId="1" applyFont="1" applyFill="1" applyBorder="1" applyAlignment="1" applyProtection="1">
      <alignment shrinkToFit="1"/>
    </xf>
    <xf numFmtId="0" fontId="30" fillId="0" borderId="7" xfId="0" applyFont="1" applyBorder="1" applyAlignment="1" applyProtection="1">
      <alignment vertical="top" wrapText="1"/>
    </xf>
    <xf numFmtId="0" fontId="35" fillId="8" borderId="18" xfId="0" applyFont="1" applyFill="1" applyBorder="1" applyAlignment="1" applyProtection="1"/>
    <xf numFmtId="0" fontId="35" fillId="8" borderId="18" xfId="0" applyFont="1" applyFill="1" applyBorder="1" applyAlignment="1" applyProtection="1">
      <alignment horizontal="center"/>
    </xf>
    <xf numFmtId="0" fontId="35" fillId="8" borderId="12" xfId="0" applyFont="1" applyFill="1" applyBorder="1" applyAlignment="1" applyProtection="1"/>
    <xf numFmtId="0" fontId="35" fillId="8" borderId="22" xfId="0" applyFont="1" applyFill="1" applyBorder="1" applyAlignment="1" applyProtection="1"/>
    <xf numFmtId="0" fontId="35" fillId="8" borderId="22" xfId="0" applyFont="1" applyFill="1" applyBorder="1" applyAlignment="1" applyProtection="1">
      <alignment horizontal="center"/>
    </xf>
    <xf numFmtId="0" fontId="35" fillId="8" borderId="18" xfId="0" applyFont="1" applyFill="1" applyBorder="1" applyAlignment="1" applyProtection="1">
      <protection locked="0"/>
    </xf>
    <xf numFmtId="0" fontId="35" fillId="8" borderId="21" xfId="0" applyFont="1" applyFill="1" applyBorder="1" applyAlignment="1" applyProtection="1">
      <alignment horizontal="center"/>
      <protection locked="0"/>
    </xf>
    <xf numFmtId="0" fontId="35" fillId="8" borderId="22" xfId="0" applyFont="1" applyFill="1" applyBorder="1" applyProtection="1"/>
    <xf numFmtId="0" fontId="27" fillId="0" borderId="16" xfId="0" applyFont="1" applyBorder="1" applyAlignment="1" applyProtection="1">
      <alignment vertical="center"/>
    </xf>
    <xf numFmtId="0" fontId="27" fillId="0" borderId="19" xfId="0" applyFont="1" applyBorder="1" applyAlignment="1" applyProtection="1">
      <alignment vertical="center"/>
    </xf>
    <xf numFmtId="0" fontId="27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right" vertical="center"/>
    </xf>
    <xf numFmtId="0" fontId="27" fillId="0" borderId="19" xfId="0" applyFont="1" applyBorder="1" applyAlignment="1" applyProtection="1">
      <alignment horizontal="left" vertical="center"/>
    </xf>
    <xf numFmtId="165" fontId="29" fillId="10" borderId="19" xfId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27" fillId="0" borderId="0" xfId="0" applyFont="1" applyAlignment="1">
      <alignment horizontal="center" vertical="center"/>
    </xf>
    <xf numFmtId="0" fontId="27" fillId="0" borderId="25" xfId="0" applyFont="1" applyBorder="1" applyAlignment="1">
      <alignment vertical="center"/>
    </xf>
    <xf numFmtId="0" fontId="28" fillId="0" borderId="17" xfId="0" applyFont="1" applyBorder="1" applyAlignment="1">
      <alignment vertical="center"/>
    </xf>
    <xf numFmtId="0" fontId="28" fillId="0" borderId="16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7" fillId="9" borderId="11" xfId="0" applyFont="1" applyFill="1" applyBorder="1" applyAlignment="1">
      <alignment vertical="center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0" fillId="0" borderId="16" xfId="0" applyFont="1" applyBorder="1" applyAlignment="1" applyProtection="1">
      <alignment vertical="center"/>
    </xf>
    <xf numFmtId="0" fontId="30" fillId="0" borderId="17" xfId="0" applyNumberFormat="1" applyFont="1" applyFill="1" applyBorder="1" applyAlignment="1" applyProtection="1">
      <alignment horizontal="left" vertical="center"/>
    </xf>
    <xf numFmtId="0" fontId="29" fillId="0" borderId="0" xfId="0" applyFont="1" applyFill="1" applyBorder="1" applyAlignment="1" applyProtection="1">
      <alignment horizontal="left" vertical="center"/>
    </xf>
    <xf numFmtId="0" fontId="30" fillId="0" borderId="0" xfId="0" applyFont="1" applyFill="1" applyBorder="1" applyAlignment="1" applyProtection="1">
      <alignment horizontal="center" vertical="center" wrapText="1"/>
    </xf>
    <xf numFmtId="167" fontId="29" fillId="0" borderId="0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Fill="1" applyBorder="1" applyAlignment="1" applyProtection="1">
      <alignment horizontal="right" vertical="center"/>
    </xf>
    <xf numFmtId="168" fontId="29" fillId="3" borderId="10" xfId="0" applyNumberFormat="1" applyFont="1" applyFill="1" applyBorder="1" applyAlignment="1" applyProtection="1">
      <alignment horizontal="center" vertical="center" wrapText="1"/>
      <protection locked="0"/>
    </xf>
    <xf numFmtId="14" fontId="35" fillId="0" borderId="0" xfId="0" applyNumberFormat="1" applyFont="1" applyFill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vertical="center"/>
    </xf>
    <xf numFmtId="0" fontId="30" fillId="0" borderId="0" xfId="0" applyFont="1" applyFill="1" applyBorder="1" applyAlignment="1" applyProtection="1">
      <alignment horizontal="center" vertical="center"/>
    </xf>
    <xf numFmtId="0" fontId="29" fillId="5" borderId="13" xfId="0" applyFont="1" applyFill="1" applyBorder="1" applyAlignment="1" applyProtection="1">
      <alignment vertical="center"/>
    </xf>
    <xf numFmtId="0" fontId="29" fillId="5" borderId="14" xfId="0" applyFont="1" applyFill="1" applyBorder="1" applyAlignment="1" applyProtection="1">
      <alignment vertical="center"/>
    </xf>
    <xf numFmtId="0" fontId="29" fillId="5" borderId="15" xfId="0" applyFont="1" applyFill="1" applyBorder="1" applyAlignment="1" applyProtection="1">
      <alignment vertical="center"/>
    </xf>
    <xf numFmtId="0" fontId="27" fillId="7" borderId="13" xfId="0" applyFont="1" applyFill="1" applyBorder="1" applyAlignment="1" applyProtection="1">
      <alignment horizontal="center" vertical="center"/>
    </xf>
    <xf numFmtId="165" fontId="29" fillId="7" borderId="19" xfId="1" applyFont="1" applyFill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horizontal="center" vertical="center"/>
    </xf>
    <xf numFmtId="0" fontId="38" fillId="7" borderId="13" xfId="0" applyFont="1" applyFill="1" applyBorder="1" applyAlignment="1" applyProtection="1">
      <alignment vertical="center"/>
    </xf>
    <xf numFmtId="0" fontId="38" fillId="7" borderId="14" xfId="0" applyFont="1" applyFill="1" applyBorder="1" applyAlignment="1" applyProtection="1">
      <alignment vertical="center"/>
    </xf>
    <xf numFmtId="0" fontId="38" fillId="7" borderId="15" xfId="0" applyFont="1" applyFill="1" applyBorder="1" applyAlignment="1" applyProtection="1">
      <alignment vertical="center"/>
    </xf>
    <xf numFmtId="0" fontId="30" fillId="3" borderId="2" xfId="0" quotePrefix="1" applyFont="1" applyFill="1" applyBorder="1" applyAlignment="1" applyProtection="1">
      <alignment horizontal="left" vertical="center" wrapText="1"/>
      <protection locked="0"/>
    </xf>
    <xf numFmtId="0" fontId="30" fillId="3" borderId="3" xfId="0" applyFont="1" applyFill="1" applyBorder="1" applyAlignment="1" applyProtection="1">
      <alignment horizontal="left" vertical="center" wrapText="1"/>
      <protection locked="0"/>
    </xf>
    <xf numFmtId="0" fontId="30" fillId="3" borderId="3" xfId="0" applyFont="1" applyFill="1" applyBorder="1" applyAlignment="1" applyProtection="1">
      <alignment horizontal="center" vertical="center"/>
      <protection locked="0"/>
    </xf>
    <xf numFmtId="165" fontId="30" fillId="3" borderId="3" xfId="1" applyFont="1" applyFill="1" applyBorder="1" applyAlignment="1" applyProtection="1">
      <alignment vertical="center" shrinkToFit="1"/>
      <protection locked="0"/>
    </xf>
    <xf numFmtId="165" fontId="30" fillId="3" borderId="3" xfId="1" applyFont="1" applyFill="1" applyBorder="1" applyAlignment="1" applyProtection="1">
      <alignment vertical="center"/>
      <protection locked="0"/>
    </xf>
    <xf numFmtId="4" fontId="30" fillId="3" borderId="4" xfId="0" applyNumberFormat="1" applyFont="1" applyFill="1" applyBorder="1" applyAlignment="1" applyProtection="1">
      <alignment vertical="center" shrinkToFit="1"/>
      <protection locked="0"/>
    </xf>
    <xf numFmtId="4" fontId="30" fillId="0" borderId="4" xfId="0" applyNumberFormat="1" applyFont="1" applyFill="1" applyBorder="1" applyAlignment="1" applyProtection="1">
      <alignment vertical="center" shrinkToFit="1"/>
    </xf>
    <xf numFmtId="165" fontId="30" fillId="0" borderId="2" xfId="1" applyNumberFormat="1" applyFont="1" applyFill="1" applyBorder="1" applyAlignment="1" applyProtection="1">
      <alignment horizontal="center" vertical="center"/>
    </xf>
    <xf numFmtId="165" fontId="30" fillId="0" borderId="5" xfId="1" applyNumberFormat="1" applyFont="1" applyFill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vertical="center"/>
    </xf>
    <xf numFmtId="165" fontId="30" fillId="3" borderId="2" xfId="1" applyFont="1" applyFill="1" applyBorder="1" applyAlignment="1" applyProtection="1">
      <alignment vertical="center"/>
      <protection locked="0"/>
    </xf>
    <xf numFmtId="165" fontId="30" fillId="3" borderId="4" xfId="1" applyFont="1" applyFill="1" applyBorder="1" applyAlignment="1" applyProtection="1">
      <alignment vertical="center"/>
      <protection locked="0"/>
    </xf>
    <xf numFmtId="0" fontId="30" fillId="3" borderId="2" xfId="0" applyFont="1" applyFill="1" applyBorder="1" applyAlignment="1" applyProtection="1">
      <alignment horizontal="left" vertical="center" wrapText="1"/>
      <protection locked="0"/>
    </xf>
    <xf numFmtId="165" fontId="30" fillId="0" borderId="3" xfId="1" applyNumberFormat="1" applyFont="1" applyFill="1" applyBorder="1" applyAlignment="1" applyProtection="1">
      <alignment horizontal="center" vertical="center"/>
    </xf>
    <xf numFmtId="165" fontId="30" fillId="0" borderId="2" xfId="1" applyFont="1" applyFill="1" applyBorder="1" applyAlignment="1" applyProtection="1">
      <alignment vertical="center"/>
    </xf>
    <xf numFmtId="165" fontId="30" fillId="0" borderId="3" xfId="1" applyFont="1" applyFill="1" applyBorder="1" applyAlignment="1" applyProtection="1">
      <alignment vertical="center"/>
    </xf>
    <xf numFmtId="165" fontId="30" fillId="0" borderId="5" xfId="1" applyFont="1" applyFill="1" applyBorder="1" applyAlignment="1" applyProtection="1">
      <alignment vertical="center"/>
    </xf>
    <xf numFmtId="49" fontId="3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35" fillId="8" borderId="11" xfId="0" applyFont="1" applyFill="1" applyBorder="1" applyAlignment="1" applyProtection="1">
      <alignment horizontal="left" vertical="center"/>
    </xf>
    <xf numFmtId="0" fontId="35" fillId="8" borderId="18" xfId="0" applyFont="1" applyFill="1" applyBorder="1" applyAlignment="1" applyProtection="1">
      <alignment horizontal="justify" vertical="center" wrapText="1"/>
    </xf>
    <xf numFmtId="0" fontId="35" fillId="8" borderId="18" xfId="0" applyFont="1" applyFill="1" applyBorder="1" applyAlignment="1" applyProtection="1">
      <alignment vertical="center"/>
    </xf>
    <xf numFmtId="0" fontId="35" fillId="8" borderId="18" xfId="0" applyFont="1" applyFill="1" applyBorder="1" applyAlignment="1" applyProtection="1">
      <alignment horizontal="center" vertical="center" wrapText="1"/>
    </xf>
    <xf numFmtId="0" fontId="35" fillId="8" borderId="21" xfId="0" applyFont="1" applyFill="1" applyBorder="1" applyAlignment="1" applyProtection="1">
      <alignment vertical="center"/>
    </xf>
    <xf numFmtId="0" fontId="35" fillId="8" borderId="18" xfId="0" applyFont="1" applyFill="1" applyBorder="1" applyAlignment="1" applyProtection="1">
      <alignment horizontal="center" vertical="center"/>
    </xf>
    <xf numFmtId="0" fontId="35" fillId="8" borderId="21" xfId="0" applyFont="1" applyFill="1" applyBorder="1" applyAlignment="1" applyProtection="1">
      <alignment horizontal="center" vertical="center"/>
    </xf>
    <xf numFmtId="0" fontId="35" fillId="8" borderId="12" xfId="0" applyFont="1" applyFill="1" applyBorder="1" applyAlignment="1" applyProtection="1">
      <alignment vertical="center"/>
    </xf>
    <xf numFmtId="0" fontId="35" fillId="8" borderId="22" xfId="0" applyFont="1" applyFill="1" applyBorder="1" applyAlignment="1" applyProtection="1">
      <alignment vertical="center"/>
    </xf>
    <xf numFmtId="0" fontId="35" fillId="8" borderId="22" xfId="0" applyFont="1" applyFill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 wrapText="1"/>
    </xf>
    <xf numFmtId="0" fontId="34" fillId="0" borderId="0" xfId="0" applyFont="1" applyBorder="1" applyAlignment="1" applyProtection="1">
      <alignment vertical="center"/>
    </xf>
    <xf numFmtId="49" fontId="27" fillId="0" borderId="0" xfId="0" applyNumberFormat="1" applyFont="1" applyBorder="1" applyAlignment="1" applyProtection="1">
      <alignment vertical="center"/>
    </xf>
    <xf numFmtId="0" fontId="27" fillId="0" borderId="0" xfId="0" applyFont="1" applyBorder="1" applyAlignment="1" applyProtection="1">
      <alignment horizontal="center" vertical="center" wrapText="1"/>
    </xf>
    <xf numFmtId="0" fontId="27" fillId="0" borderId="25" xfId="0" applyFont="1" applyBorder="1" applyAlignment="1" applyProtection="1">
      <alignment horizontal="right" vertical="center"/>
    </xf>
    <xf numFmtId="49" fontId="27" fillId="0" borderId="0" xfId="0" applyNumberFormat="1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horizontal="right" vertical="center"/>
    </xf>
    <xf numFmtId="0" fontId="35" fillId="8" borderId="22" xfId="0" applyFont="1" applyFill="1" applyBorder="1" applyProtection="1"/>
    <xf numFmtId="0" fontId="29" fillId="0" borderId="15" xfId="0" applyFont="1" applyBorder="1" applyAlignment="1" applyProtection="1">
      <alignment horizontal="center" vertical="center" wrapText="1"/>
    </xf>
    <xf numFmtId="0" fontId="29" fillId="0" borderId="18" xfId="0" applyFont="1" applyBorder="1" applyAlignment="1" applyProtection="1">
      <alignment vertical="center" wrapText="1"/>
    </xf>
    <xf numFmtId="0" fontId="27" fillId="0" borderId="16" xfId="0" applyFont="1" applyBorder="1" applyAlignment="1">
      <alignment horizontal="left" vertical="center"/>
    </xf>
    <xf numFmtId="0" fontId="28" fillId="9" borderId="11" xfId="0" applyFont="1" applyFill="1" applyBorder="1" applyAlignment="1">
      <alignment horizontal="left" vertical="center"/>
    </xf>
    <xf numFmtId="0" fontId="28" fillId="0" borderId="16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17" xfId="0" applyFont="1" applyBorder="1" applyAlignment="1">
      <alignment horizontal="left" vertical="center"/>
    </xf>
    <xf numFmtId="0" fontId="29" fillId="9" borderId="11" xfId="0" applyNumberFormat="1" applyFont="1" applyFill="1" applyBorder="1" applyAlignment="1" applyProtection="1">
      <alignment horizontal="left" vertical="center"/>
    </xf>
    <xf numFmtId="0" fontId="29" fillId="9" borderId="12" xfId="0" applyNumberFormat="1" applyFont="1" applyFill="1" applyBorder="1" applyAlignment="1" applyProtection="1">
      <alignment horizontal="left" vertical="center"/>
    </xf>
    <xf numFmtId="0" fontId="30" fillId="0" borderId="17" xfId="0" applyNumberFormat="1" applyFont="1" applyFill="1" applyBorder="1" applyAlignment="1" applyProtection="1">
      <alignment horizontal="left" vertical="center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 wrapText="1"/>
    </xf>
    <xf numFmtId="165" fontId="0" fillId="14" borderId="19" xfId="0" applyNumberFormat="1" applyFill="1" applyBorder="1" applyAlignment="1">
      <alignment horizontal="center"/>
    </xf>
    <xf numFmtId="164" fontId="0" fillId="0" borderId="19" xfId="4" applyFont="1" applyBorder="1" applyAlignment="1">
      <alignment horizontal="center"/>
    </xf>
    <xf numFmtId="0" fontId="0" fillId="16" borderId="19" xfId="0" applyFill="1" applyBorder="1" applyAlignment="1">
      <alignment horizontal="center"/>
    </xf>
    <xf numFmtId="164" fontId="0" fillId="0" borderId="19" xfId="4" applyFont="1" applyBorder="1"/>
    <xf numFmtId="164" fontId="0" fillId="14" borderId="19" xfId="4" applyFont="1" applyFill="1" applyBorder="1"/>
    <xf numFmtId="164" fontId="0" fillId="13" borderId="19" xfId="4" applyFont="1" applyFill="1" applyBorder="1"/>
    <xf numFmtId="164" fontId="0" fillId="0" borderId="0" xfId="0" applyNumberFormat="1"/>
    <xf numFmtId="164" fontId="0" fillId="0" borderId="19" xfId="4" applyFont="1" applyBorder="1" applyAlignment="1">
      <alignment horizontal="center"/>
    </xf>
    <xf numFmtId="164" fontId="0" fillId="0" borderId="19" xfId="4" applyFont="1" applyBorder="1" applyAlignment="1">
      <alignment horizontal="center"/>
    </xf>
    <xf numFmtId="0" fontId="21" fillId="0" borderId="0" xfId="0" applyFont="1"/>
    <xf numFmtId="0" fontId="40" fillId="0" borderId="0" xfId="0" applyFont="1"/>
    <xf numFmtId="0" fontId="40" fillId="0" borderId="0" xfId="0" applyFont="1" applyAlignment="1">
      <alignment vertical="center"/>
    </xf>
    <xf numFmtId="0" fontId="41" fillId="0" borderId="19" xfId="3" applyFont="1" applyBorder="1" applyAlignment="1" applyProtection="1">
      <alignment horizontal="center" vertical="center"/>
    </xf>
    <xf numFmtId="0" fontId="41" fillId="0" borderId="0" xfId="3" applyFont="1" applyBorder="1" applyAlignment="1" applyProtection="1">
      <alignment horizontal="center" vertical="center"/>
    </xf>
    <xf numFmtId="0" fontId="40" fillId="0" borderId="19" xfId="5" applyFont="1" applyFill="1" applyBorder="1" applyAlignment="1" applyProtection="1">
      <alignment horizontal="center" vertical="center" wrapText="1"/>
    </xf>
    <xf numFmtId="0" fontId="40" fillId="0" borderId="0" xfId="5" applyFont="1" applyFill="1" applyBorder="1" applyAlignment="1" applyProtection="1">
      <alignment horizontal="center" vertical="center" wrapText="1"/>
    </xf>
    <xf numFmtId="0" fontId="41" fillId="0" borderId="13" xfId="3" applyFont="1" applyBorder="1" applyAlignment="1" applyProtection="1">
      <alignment horizontal="center" vertical="center"/>
    </xf>
    <xf numFmtId="10" fontId="40" fillId="0" borderId="19" xfId="5" applyNumberFormat="1" applyFont="1" applyFill="1" applyBorder="1" applyAlignment="1" applyProtection="1">
      <alignment horizontal="center" vertical="center" wrapText="1"/>
    </xf>
    <xf numFmtId="10" fontId="40" fillId="0" borderId="0" xfId="5" applyNumberFormat="1" applyFont="1" applyFill="1" applyBorder="1" applyAlignment="1" applyProtection="1">
      <alignment horizontal="center" vertical="center" wrapText="1"/>
    </xf>
    <xf numFmtId="0" fontId="27" fillId="0" borderId="0" xfId="0" applyFont="1"/>
    <xf numFmtId="0" fontId="29" fillId="0" borderId="19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 vertical="center" wrapText="1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4" fillId="0" borderId="0" xfId="0" applyFont="1"/>
    <xf numFmtId="0" fontId="43" fillId="13" borderId="19" xfId="0" applyFont="1" applyFill="1" applyBorder="1" applyAlignment="1">
      <alignment horizontal="center" vertical="center"/>
    </xf>
    <xf numFmtId="0" fontId="27" fillId="18" borderId="19" xfId="0" applyFont="1" applyFill="1" applyBorder="1" applyAlignment="1">
      <alignment horizontal="center" vertical="center"/>
    </xf>
    <xf numFmtId="0" fontId="28" fillId="13" borderId="19" xfId="0" applyFont="1" applyFill="1" applyBorder="1" applyAlignment="1">
      <alignment horizontal="center" vertical="center"/>
    </xf>
    <xf numFmtId="0" fontId="27" fillId="13" borderId="19" xfId="0" applyFont="1" applyFill="1" applyBorder="1" applyAlignment="1">
      <alignment vertical="center"/>
    </xf>
    <xf numFmtId="4" fontId="27" fillId="13" borderId="19" xfId="0" applyNumberFormat="1" applyFont="1" applyFill="1" applyBorder="1" applyAlignment="1">
      <alignment vertical="center"/>
    </xf>
    <xf numFmtId="0" fontId="27" fillId="0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0" fillId="0" borderId="16" xfId="0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40" fillId="0" borderId="18" xfId="0" applyFont="1" applyBorder="1" applyAlignment="1">
      <alignment vertical="center"/>
    </xf>
    <xf numFmtId="0" fontId="45" fillId="0" borderId="0" xfId="0" applyFont="1" applyAlignment="1">
      <alignment vertical="center"/>
    </xf>
    <xf numFmtId="0" fontId="40" fillId="0" borderId="25" xfId="0" applyFont="1" applyBorder="1" applyAlignment="1">
      <alignment vertical="center"/>
    </xf>
    <xf numFmtId="0" fontId="45" fillId="0" borderId="25" xfId="0" applyFont="1" applyBorder="1" applyAlignment="1">
      <alignment vertical="center"/>
    </xf>
    <xf numFmtId="0" fontId="42" fillId="0" borderId="32" xfId="0" applyFont="1" applyBorder="1" applyAlignment="1" applyProtection="1">
      <alignment horizontal="left" vertical="center"/>
      <protection locked="0"/>
    </xf>
    <xf numFmtId="0" fontId="42" fillId="0" borderId="33" xfId="0" applyFont="1" applyBorder="1" applyAlignment="1" applyProtection="1">
      <alignment horizontal="left" vertical="center"/>
      <protection locked="0"/>
    </xf>
    <xf numFmtId="0" fontId="42" fillId="0" borderId="34" xfId="0" applyFont="1" applyBorder="1" applyAlignment="1" applyProtection="1">
      <alignment horizontal="left" vertical="center"/>
      <protection locked="0"/>
    </xf>
    <xf numFmtId="0" fontId="27" fillId="19" borderId="19" xfId="0" applyFont="1" applyFill="1" applyBorder="1" applyAlignment="1">
      <alignment horizontal="center" vertical="center"/>
    </xf>
    <xf numFmtId="0" fontId="43" fillId="13" borderId="14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21" fillId="0" borderId="0" xfId="0" applyFont="1" applyAlignment="1">
      <alignment vertical="center"/>
    </xf>
    <xf numFmtId="0" fontId="0" fillId="13" borderId="19" xfId="0" applyFill="1" applyBorder="1" applyAlignment="1">
      <alignment vertical="center"/>
    </xf>
    <xf numFmtId="0" fontId="27" fillId="14" borderId="19" xfId="0" applyFont="1" applyFill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13" borderId="19" xfId="0" applyFont="1" applyFill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27" fillId="14" borderId="19" xfId="0" applyFont="1" applyFill="1" applyBorder="1" applyAlignment="1">
      <alignment vertical="center" wrapText="1"/>
    </xf>
    <xf numFmtId="0" fontId="27" fillId="0" borderId="19" xfId="0" applyFont="1" applyBorder="1" applyAlignment="1">
      <alignment vertical="center" wrapText="1"/>
    </xf>
    <xf numFmtId="0" fontId="27" fillId="19" borderId="19" xfId="0" applyFont="1" applyFill="1" applyBorder="1" applyAlignment="1">
      <alignment vertical="center" wrapText="1"/>
    </xf>
    <xf numFmtId="0" fontId="27" fillId="13" borderId="19" xfId="0" applyFont="1" applyFill="1" applyBorder="1" applyAlignment="1">
      <alignment vertical="center" wrapText="1"/>
    </xf>
    <xf numFmtId="0" fontId="46" fillId="0" borderId="19" xfId="0" applyFont="1" applyBorder="1" applyAlignment="1">
      <alignment vertical="center" wrapText="1"/>
    </xf>
    <xf numFmtId="0" fontId="30" fillId="0" borderId="19" xfId="0" applyFont="1" applyBorder="1" applyAlignment="1">
      <alignment vertical="center" wrapText="1"/>
    </xf>
    <xf numFmtId="0" fontId="30" fillId="19" borderId="19" xfId="0" applyFont="1" applyFill="1" applyBorder="1" applyAlignment="1">
      <alignment vertical="center" wrapText="1"/>
    </xf>
    <xf numFmtId="165" fontId="27" fillId="14" borderId="19" xfId="0" applyNumberFormat="1" applyFont="1" applyFill="1" applyBorder="1" applyAlignment="1">
      <alignment vertical="center"/>
    </xf>
    <xf numFmtId="4" fontId="27" fillId="14" borderId="19" xfId="0" applyNumberFormat="1" applyFont="1" applyFill="1" applyBorder="1" applyAlignment="1">
      <alignment vertical="center"/>
    </xf>
    <xf numFmtId="165" fontId="27" fillId="0" borderId="19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165" fontId="27" fillId="19" borderId="19" xfId="0" applyNumberFormat="1" applyFont="1" applyFill="1" applyBorder="1" applyAlignment="1">
      <alignment vertical="center"/>
    </xf>
    <xf numFmtId="165" fontId="27" fillId="13" borderId="19" xfId="0" applyNumberFormat="1" applyFont="1" applyFill="1" applyBorder="1" applyAlignment="1">
      <alignment vertical="center"/>
    </xf>
    <xf numFmtId="165" fontId="46" fillId="0" borderId="19" xfId="0" applyNumberFormat="1" applyFont="1" applyBorder="1" applyAlignment="1">
      <alignment vertical="center"/>
    </xf>
    <xf numFmtId="4" fontId="46" fillId="0" borderId="19" xfId="0" applyNumberFormat="1" applyFont="1" applyBorder="1" applyAlignment="1">
      <alignment vertical="center"/>
    </xf>
    <xf numFmtId="0" fontId="41" fillId="0" borderId="0" xfId="3" applyFont="1" applyBorder="1" applyAlignment="1" applyProtection="1">
      <alignment vertical="center"/>
    </xf>
    <xf numFmtId="0" fontId="40" fillId="0" borderId="0" xfId="5" applyFont="1" applyFill="1" applyBorder="1" applyAlignment="1" applyProtection="1">
      <alignment vertical="center" wrapText="1"/>
    </xf>
    <xf numFmtId="0" fontId="40" fillId="0" borderId="16" xfId="0" applyFont="1" applyBorder="1"/>
    <xf numFmtId="0" fontId="0" fillId="0" borderId="0" xfId="0" applyBorder="1"/>
    <xf numFmtId="165" fontId="0" fillId="0" borderId="16" xfId="0" applyNumberFormat="1" applyBorder="1"/>
    <xf numFmtId="165" fontId="0" fillId="0" borderId="0" xfId="0" applyNumberFormat="1" applyBorder="1"/>
    <xf numFmtId="165" fontId="28" fillId="13" borderId="19" xfId="0" applyNumberFormat="1" applyFont="1" applyFill="1" applyBorder="1" applyAlignment="1">
      <alignment vertical="center"/>
    </xf>
    <xf numFmtId="0" fontId="28" fillId="13" borderId="13" xfId="0" applyFont="1" applyFill="1" applyBorder="1" applyAlignment="1">
      <alignment vertical="center"/>
    </xf>
    <xf numFmtId="0" fontId="27" fillId="18" borderId="10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vertical="center" wrapText="1"/>
    </xf>
    <xf numFmtId="165" fontId="27" fillId="0" borderId="9" xfId="0" applyNumberFormat="1" applyFont="1" applyFill="1" applyBorder="1" applyAlignment="1">
      <alignment vertical="center"/>
    </xf>
    <xf numFmtId="4" fontId="27" fillId="0" borderId="9" xfId="0" applyNumberFormat="1" applyFont="1" applyFill="1" applyBorder="1" applyAlignment="1">
      <alignment vertical="center"/>
    </xf>
    <xf numFmtId="0" fontId="28" fillId="13" borderId="10" xfId="0" applyFont="1" applyFill="1" applyBorder="1" applyAlignment="1">
      <alignment horizontal="center" vertical="center"/>
    </xf>
    <xf numFmtId="0" fontId="27" fillId="13" borderId="10" xfId="0" applyFont="1" applyFill="1" applyBorder="1" applyAlignment="1">
      <alignment horizontal="center" vertical="center"/>
    </xf>
    <xf numFmtId="0" fontId="27" fillId="13" borderId="10" xfId="0" applyFont="1" applyFill="1" applyBorder="1" applyAlignment="1">
      <alignment vertical="center" wrapText="1"/>
    </xf>
    <xf numFmtId="0" fontId="27" fillId="13" borderId="10" xfId="0" applyFont="1" applyFill="1" applyBorder="1" applyAlignment="1">
      <alignment vertical="center"/>
    </xf>
    <xf numFmtId="165" fontId="27" fillId="13" borderId="10" xfId="0" applyNumberFormat="1" applyFont="1" applyFill="1" applyBorder="1" applyAlignment="1">
      <alignment vertical="center"/>
    </xf>
    <xf numFmtId="4" fontId="27" fillId="13" borderId="1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27" fillId="0" borderId="18" xfId="0" applyFont="1" applyFill="1" applyBorder="1" applyAlignment="1">
      <alignment vertical="center" wrapText="1"/>
    </xf>
    <xf numFmtId="165" fontId="27" fillId="0" borderId="18" xfId="0" applyNumberFormat="1" applyFont="1" applyFill="1" applyBorder="1" applyAlignment="1">
      <alignment vertical="center"/>
    </xf>
    <xf numFmtId="4" fontId="27" fillId="0" borderId="18" xfId="0" applyNumberFormat="1" applyFont="1" applyFill="1" applyBorder="1" applyAlignment="1">
      <alignment vertical="center"/>
    </xf>
    <xf numFmtId="173" fontId="48" fillId="0" borderId="31" xfId="5" applyNumberFormat="1" applyFont="1" applyFill="1" applyBorder="1" applyAlignment="1" applyProtection="1">
      <alignment horizontal="center" vertical="center" shrinkToFit="1"/>
    </xf>
    <xf numFmtId="0" fontId="47" fillId="0" borderId="0" xfId="0" applyFont="1" applyAlignment="1"/>
    <xf numFmtId="0" fontId="47" fillId="0" borderId="0" xfId="0" applyFont="1" applyAlignment="1">
      <alignment vertical="center"/>
    </xf>
    <xf numFmtId="0" fontId="41" fillId="0" borderId="35" xfId="3" applyFont="1" applyBorder="1" applyAlignment="1" applyProtection="1">
      <alignment horizontal="center" vertical="center"/>
    </xf>
    <xf numFmtId="0" fontId="40" fillId="0" borderId="37" xfId="5" applyFont="1" applyFill="1" applyBorder="1" applyAlignment="1" applyProtection="1">
      <alignment horizontal="center" vertical="center" wrapText="1"/>
    </xf>
    <xf numFmtId="0" fontId="28" fillId="0" borderId="19" xfId="0" applyFont="1" applyBorder="1" applyAlignment="1">
      <alignment horizontal="center"/>
    </xf>
    <xf numFmtId="0" fontId="28" fillId="0" borderId="19" xfId="0" applyFont="1" applyBorder="1" applyAlignment="1">
      <alignment horizontal="center" wrapText="1"/>
    </xf>
    <xf numFmtId="0" fontId="40" fillId="0" borderId="0" xfId="0" applyFont="1" applyBorder="1" applyAlignment="1"/>
    <xf numFmtId="0" fontId="40" fillId="0" borderId="18" xfId="0" applyFont="1" applyBorder="1" applyAlignment="1"/>
    <xf numFmtId="0" fontId="45" fillId="0" borderId="25" xfId="0" applyFont="1" applyBorder="1" applyAlignment="1"/>
    <xf numFmtId="0" fontId="45" fillId="0" borderId="0" xfId="0" applyFont="1" applyBorder="1" applyAlignment="1"/>
    <xf numFmtId="0" fontId="45" fillId="0" borderId="0" xfId="0" applyFont="1" applyBorder="1"/>
    <xf numFmtId="0" fontId="40" fillId="0" borderId="0" xfId="0" applyFont="1" applyBorder="1"/>
    <xf numFmtId="0" fontId="27" fillId="0" borderId="10" xfId="0" applyFont="1" applyBorder="1" applyAlignment="1">
      <alignment vertical="center"/>
    </xf>
    <xf numFmtId="10" fontId="27" fillId="0" borderId="30" xfId="0" applyNumberFormat="1" applyFont="1" applyBorder="1" applyAlignment="1">
      <alignment vertical="center"/>
    </xf>
    <xf numFmtId="10" fontId="27" fillId="0" borderId="27" xfId="0" applyNumberFormat="1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30" xfId="0" applyFont="1" applyBorder="1" applyAlignment="1">
      <alignment horizontal="center" vertical="center"/>
    </xf>
    <xf numFmtId="4" fontId="41" fillId="0" borderId="30" xfId="3" applyNumberFormat="1" applyFont="1" applyBorder="1" applyAlignment="1">
      <alignment vertical="center"/>
    </xf>
    <xf numFmtId="0" fontId="20" fillId="0" borderId="30" xfId="3" applyFont="1" applyBorder="1" applyAlignment="1">
      <alignment vertical="center"/>
    </xf>
    <xf numFmtId="10" fontId="50" fillId="20" borderId="30" xfId="3" applyNumberFormat="1" applyFont="1" applyFill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5" applyFont="1" applyBorder="1" applyAlignment="1">
      <alignment vertical="center" wrapText="1"/>
    </xf>
    <xf numFmtId="0" fontId="27" fillId="0" borderId="9" xfId="5" applyFont="1" applyBorder="1" applyAlignment="1">
      <alignment vertical="center" wrapText="1"/>
    </xf>
    <xf numFmtId="0" fontId="28" fillId="0" borderId="30" xfId="0" applyFont="1" applyBorder="1" applyAlignment="1">
      <alignment horizontal="center" vertical="center"/>
    </xf>
    <xf numFmtId="4" fontId="28" fillId="0" borderId="30" xfId="0" applyNumberFormat="1" applyFont="1" applyBorder="1" applyAlignment="1">
      <alignment vertical="center"/>
    </xf>
    <xf numFmtId="10" fontId="20" fillId="21" borderId="30" xfId="3" applyNumberFormat="1" applyFont="1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10" fontId="50" fillId="0" borderId="30" xfId="3" applyNumberFormat="1" applyFont="1" applyBorder="1" applyAlignment="1">
      <alignment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4" fontId="27" fillId="0" borderId="10" xfId="0" applyNumberFormat="1" applyFont="1" applyBorder="1" applyAlignment="1">
      <alignment vertical="center"/>
    </xf>
    <xf numFmtId="4" fontId="28" fillId="0" borderId="9" xfId="0" applyNumberFormat="1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0" fontId="28" fillId="0" borderId="18" xfId="0" applyFont="1" applyBorder="1" applyAlignment="1">
      <alignment horizontal="left" vertical="center"/>
    </xf>
    <xf numFmtId="0" fontId="20" fillId="0" borderId="9" xfId="3" applyFont="1" applyBorder="1" applyAlignment="1">
      <alignment vertical="center"/>
    </xf>
    <xf numFmtId="10" fontId="50" fillId="0" borderId="9" xfId="3" applyNumberFormat="1" applyFont="1" applyBorder="1" applyAlignment="1">
      <alignment vertical="center"/>
    </xf>
    <xf numFmtId="10" fontId="27" fillId="0" borderId="9" xfId="0" applyNumberFormat="1" applyFont="1" applyBorder="1" applyAlignment="1">
      <alignment vertical="center"/>
    </xf>
    <xf numFmtId="0" fontId="28" fillId="0" borderId="11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51" fillId="0" borderId="0" xfId="0" applyFont="1" applyAlignment="1">
      <alignment horizontal="right"/>
    </xf>
    <xf numFmtId="10" fontId="27" fillId="23" borderId="19" xfId="0" applyNumberFormat="1" applyFont="1" applyFill="1" applyBorder="1"/>
    <xf numFmtId="174" fontId="27" fillId="0" borderId="19" xfId="0" applyNumberFormat="1" applyFont="1" applyBorder="1"/>
    <xf numFmtId="4" fontId="27" fillId="0" borderId="0" xfId="0" applyNumberFormat="1" applyFont="1"/>
    <xf numFmtId="4" fontId="27" fillId="0" borderId="10" xfId="0" applyNumberFormat="1" applyFont="1" applyBorder="1"/>
    <xf numFmtId="0" fontId="27" fillId="0" borderId="10" xfId="0" applyFont="1" applyBorder="1"/>
    <xf numFmtId="0" fontId="27" fillId="0" borderId="12" xfId="0" applyFont="1" applyBorder="1"/>
    <xf numFmtId="4" fontId="28" fillId="23" borderId="10" xfId="0" applyNumberFormat="1" applyFont="1" applyFill="1" applyBorder="1"/>
    <xf numFmtId="10" fontId="27" fillId="23" borderId="9" xfId="0" applyNumberFormat="1" applyFont="1" applyFill="1" applyBorder="1"/>
    <xf numFmtId="4" fontId="27" fillId="0" borderId="19" xfId="0" applyNumberFormat="1" applyFont="1" applyBorder="1"/>
    <xf numFmtId="0" fontId="27" fillId="0" borderId="19" xfId="0" applyFont="1" applyBorder="1"/>
    <xf numFmtId="0" fontId="27" fillId="0" borderId="15" xfId="0" applyFont="1" applyBorder="1"/>
    <xf numFmtId="4" fontId="28" fillId="23" borderId="18" xfId="0" applyNumberFormat="1" applyFont="1" applyFill="1" applyBorder="1"/>
    <xf numFmtId="4" fontId="28" fillId="23" borderId="19" xfId="0" applyNumberFormat="1" applyFont="1" applyFill="1" applyBorder="1"/>
    <xf numFmtId="4" fontId="27" fillId="0" borderId="9" xfId="5" applyNumberFormat="1" applyFont="1" applyBorder="1" applyAlignment="1">
      <alignment vertical="center" wrapText="1"/>
    </xf>
    <xf numFmtId="4" fontId="27" fillId="0" borderId="9" xfId="0" applyNumberFormat="1" applyFont="1" applyBorder="1" applyAlignment="1">
      <alignment vertical="center"/>
    </xf>
    <xf numFmtId="0" fontId="0" fillId="25" borderId="0" xfId="0" applyFill="1"/>
    <xf numFmtId="0" fontId="44" fillId="11" borderId="19" xfId="0" applyFont="1" applyFill="1" applyBorder="1" applyAlignment="1">
      <alignment horizontal="center" vertical="center"/>
    </xf>
    <xf numFmtId="0" fontId="44" fillId="11" borderId="13" xfId="0" applyFont="1" applyFill="1" applyBorder="1" applyAlignment="1">
      <alignment horizontal="center" vertical="center"/>
    </xf>
    <xf numFmtId="0" fontId="44" fillId="11" borderId="19" xfId="0" applyFont="1" applyFill="1" applyBorder="1" applyAlignment="1">
      <alignment vertical="center"/>
    </xf>
    <xf numFmtId="0" fontId="44" fillId="11" borderId="19" xfId="0" applyFont="1" applyFill="1" applyBorder="1" applyAlignment="1">
      <alignment horizontal="center" vertical="center" wrapText="1"/>
    </xf>
    <xf numFmtId="0" fontId="44" fillId="12" borderId="19" xfId="0" applyFont="1" applyFill="1" applyBorder="1" applyAlignment="1">
      <alignment horizontal="center" vertical="center" wrapText="1"/>
    </xf>
    <xf numFmtId="0" fontId="44" fillId="15" borderId="19" xfId="0" applyFont="1" applyFill="1" applyBorder="1" applyAlignment="1">
      <alignment horizontal="center" vertical="center" wrapText="1"/>
    </xf>
    <xf numFmtId="0" fontId="44" fillId="15" borderId="19" xfId="0" applyFont="1" applyFill="1" applyBorder="1" applyAlignment="1">
      <alignment horizontal="center" vertical="center"/>
    </xf>
    <xf numFmtId="0" fontId="44" fillId="16" borderId="19" xfId="0" applyFont="1" applyFill="1" applyBorder="1" applyAlignment="1">
      <alignment horizontal="center" vertical="center" wrapText="1"/>
    </xf>
    <xf numFmtId="0" fontId="44" fillId="16" borderId="19" xfId="0" applyFont="1" applyFill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0" borderId="19" xfId="0" applyFont="1" applyBorder="1" applyAlignment="1">
      <alignment vertical="center"/>
    </xf>
    <xf numFmtId="165" fontId="44" fillId="0" borderId="19" xfId="0" applyNumberFormat="1" applyFont="1" applyBorder="1" applyAlignment="1">
      <alignment horizontal="center" vertical="center"/>
    </xf>
    <xf numFmtId="9" fontId="44" fillId="0" borderId="19" xfId="0" applyNumberFormat="1" applyFont="1" applyBorder="1" applyAlignment="1">
      <alignment horizontal="center" vertical="center"/>
    </xf>
    <xf numFmtId="0" fontId="44" fillId="14" borderId="19" xfId="0" applyFont="1" applyFill="1" applyBorder="1" applyAlignment="1">
      <alignment horizontal="center" vertical="center"/>
    </xf>
    <xf numFmtId="0" fontId="44" fillId="14" borderId="19" xfId="0" applyFont="1" applyFill="1" applyBorder="1" applyAlignment="1">
      <alignment vertical="center" wrapText="1"/>
    </xf>
    <xf numFmtId="165" fontId="44" fillId="14" borderId="19" xfId="0" applyNumberFormat="1" applyFont="1" applyFill="1" applyBorder="1" applyAlignment="1">
      <alignment horizontal="center" vertical="center"/>
    </xf>
    <xf numFmtId="4" fontId="44" fillId="14" borderId="19" xfId="0" applyNumberFormat="1" applyFont="1" applyFill="1" applyBorder="1" applyAlignment="1">
      <alignment horizontal="center" vertical="center"/>
    </xf>
    <xf numFmtId="0" fontId="20" fillId="0" borderId="19" xfId="0" applyFont="1" applyBorder="1" applyAlignment="1">
      <alignment vertical="center" wrapText="1"/>
    </xf>
    <xf numFmtId="4" fontId="44" fillId="0" borderId="19" xfId="0" applyNumberFormat="1" applyFont="1" applyBorder="1" applyAlignment="1">
      <alignment horizontal="center" vertical="center"/>
    </xf>
    <xf numFmtId="0" fontId="44" fillId="0" borderId="19" xfId="0" applyNumberFormat="1" applyFont="1" applyBorder="1" applyAlignment="1">
      <alignment horizontal="center" vertical="center"/>
    </xf>
    <xf numFmtId="164" fontId="44" fillId="0" borderId="19" xfId="4" applyFont="1" applyBorder="1" applyAlignment="1">
      <alignment horizontal="center" vertical="center"/>
    </xf>
    <xf numFmtId="2" fontId="44" fillId="0" borderId="19" xfId="0" applyNumberFormat="1" applyFont="1" applyBorder="1" applyAlignment="1">
      <alignment horizontal="center" vertical="center"/>
    </xf>
    <xf numFmtId="0" fontId="44" fillId="0" borderId="19" xfId="0" applyFont="1" applyBorder="1" applyAlignment="1">
      <alignment vertical="center" wrapText="1"/>
    </xf>
    <xf numFmtId="164" fontId="44" fillId="14" borderId="19" xfId="4" applyFont="1" applyFill="1" applyBorder="1" applyAlignment="1">
      <alignment horizontal="center" vertical="center"/>
    </xf>
    <xf numFmtId="0" fontId="44" fillId="13" borderId="19" xfId="0" applyFont="1" applyFill="1" applyBorder="1" applyAlignment="1">
      <alignment horizontal="center" vertical="center"/>
    </xf>
    <xf numFmtId="0" fontId="44" fillId="13" borderId="19" xfId="0" applyFont="1" applyFill="1" applyBorder="1" applyAlignment="1">
      <alignment vertical="center" wrapText="1"/>
    </xf>
    <xf numFmtId="165" fontId="44" fillId="13" borderId="19" xfId="0" applyNumberFormat="1" applyFont="1" applyFill="1" applyBorder="1" applyAlignment="1">
      <alignment horizontal="center" vertical="center"/>
    </xf>
    <xf numFmtId="4" fontId="44" fillId="13" borderId="19" xfId="0" applyNumberFormat="1" applyFont="1" applyFill="1" applyBorder="1" applyAlignment="1">
      <alignment horizontal="center" vertical="center"/>
    </xf>
    <xf numFmtId="164" fontId="44" fillId="13" borderId="19" xfId="4" applyFont="1" applyFill="1" applyBorder="1" applyAlignment="1">
      <alignment horizontal="center" vertical="center"/>
    </xf>
    <xf numFmtId="2" fontId="44" fillId="17" borderId="19" xfId="0" applyNumberFormat="1" applyFont="1" applyFill="1" applyBorder="1" applyAlignment="1">
      <alignment horizontal="center" vertical="center"/>
    </xf>
    <xf numFmtId="2" fontId="44" fillId="24" borderId="19" xfId="0" applyNumberFormat="1" applyFont="1" applyFill="1" applyBorder="1" applyAlignment="1">
      <alignment horizontal="center" vertical="center"/>
    </xf>
    <xf numFmtId="0" fontId="44" fillId="17" borderId="0" xfId="0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24" borderId="0" xfId="0" applyFont="1" applyFill="1" applyAlignment="1">
      <alignment horizontal="center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4" fillId="11" borderId="13" xfId="0" applyFont="1" applyFill="1" applyBorder="1" applyAlignment="1">
      <alignment horizontal="center" vertical="center"/>
    </xf>
    <xf numFmtId="0" fontId="44" fillId="11" borderId="14" xfId="0" applyFont="1" applyFill="1" applyBorder="1" applyAlignment="1">
      <alignment horizontal="center" vertical="center"/>
    </xf>
    <xf numFmtId="0" fontId="44" fillId="11" borderId="15" xfId="0" applyFont="1" applyFill="1" applyBorder="1" applyAlignment="1">
      <alignment horizontal="center" vertical="center"/>
    </xf>
    <xf numFmtId="0" fontId="44" fillId="12" borderId="13" xfId="0" applyFont="1" applyFill="1" applyBorder="1" applyAlignment="1">
      <alignment horizontal="center" vertical="center"/>
    </xf>
    <xf numFmtId="0" fontId="44" fillId="12" borderId="15" xfId="0" applyFont="1" applyFill="1" applyBorder="1" applyAlignment="1">
      <alignment horizontal="center" vertical="center"/>
    </xf>
    <xf numFmtId="0" fontId="44" fillId="15" borderId="13" xfId="0" applyFont="1" applyFill="1" applyBorder="1" applyAlignment="1">
      <alignment horizontal="center" vertical="center"/>
    </xf>
    <xf numFmtId="0" fontId="44" fillId="15" borderId="15" xfId="0" applyFont="1" applyFill="1" applyBorder="1" applyAlignment="1">
      <alignment horizontal="center" vertical="center"/>
    </xf>
    <xf numFmtId="0" fontId="0" fillId="16" borderId="13" xfId="0" applyFill="1" applyBorder="1" applyAlignment="1">
      <alignment horizontal="center"/>
    </xf>
    <xf numFmtId="0" fontId="0" fillId="16" borderId="14" xfId="0" applyFill="1" applyBorder="1" applyAlignment="1">
      <alignment horizontal="center"/>
    </xf>
    <xf numFmtId="0" fontId="0" fillId="16" borderId="15" xfId="0" applyFill="1" applyBorder="1" applyAlignment="1">
      <alignment horizont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7" fillId="0" borderId="0" xfId="0" applyFont="1" applyAlignment="1">
      <alignment horizontal="right"/>
    </xf>
    <xf numFmtId="0" fontId="47" fillId="0" borderId="0" xfId="0" applyFont="1" applyAlignment="1">
      <alignment horizontal="right" vertical="center"/>
    </xf>
    <xf numFmtId="0" fontId="40" fillId="0" borderId="25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13" xfId="3" applyFont="1" applyBorder="1" applyAlignment="1" applyProtection="1">
      <alignment horizontal="center" vertical="center"/>
    </xf>
    <xf numFmtId="0" fontId="41" fillId="0" borderId="14" xfId="3" applyFont="1" applyBorder="1" applyAlignment="1" applyProtection="1">
      <alignment horizontal="center" vertical="center"/>
    </xf>
    <xf numFmtId="0" fontId="41" fillId="0" borderId="15" xfId="3" applyFont="1" applyBorder="1" applyAlignment="1" applyProtection="1">
      <alignment horizontal="center" vertical="center"/>
    </xf>
    <xf numFmtId="0" fontId="40" fillId="0" borderId="13" xfId="5" applyFont="1" applyFill="1" applyBorder="1" applyAlignment="1" applyProtection="1">
      <alignment horizontal="center" vertical="center" wrapText="1"/>
    </xf>
    <xf numFmtId="0" fontId="40" fillId="0" borderId="14" xfId="5" applyFont="1" applyFill="1" applyBorder="1" applyAlignment="1" applyProtection="1">
      <alignment horizontal="center" vertical="center" wrapText="1"/>
    </xf>
    <xf numFmtId="0" fontId="40" fillId="0" borderId="15" xfId="5" applyFont="1" applyFill="1" applyBorder="1" applyAlignment="1" applyProtection="1">
      <alignment horizontal="center" vertical="center" wrapText="1"/>
    </xf>
    <xf numFmtId="0" fontId="41" fillId="0" borderId="13" xfId="3" applyFont="1" applyBorder="1" applyAlignment="1" applyProtection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48" fillId="0" borderId="13" xfId="5" applyFont="1" applyFill="1" applyBorder="1" applyAlignment="1" applyProtection="1">
      <alignment horizontal="center" vertical="center" wrapText="1"/>
    </xf>
    <xf numFmtId="0" fontId="49" fillId="0" borderId="14" xfId="0" applyFont="1" applyBorder="1"/>
    <xf numFmtId="0" fontId="49" fillId="0" borderId="15" xfId="0" applyFont="1" applyBorder="1"/>
    <xf numFmtId="0" fontId="27" fillId="0" borderId="26" xfId="0" applyFont="1" applyBorder="1" applyAlignment="1">
      <alignment horizontal="right"/>
    </xf>
    <xf numFmtId="0" fontId="27" fillId="0" borderId="27" xfId="0" applyFont="1" applyBorder="1" applyAlignment="1">
      <alignment horizontal="right"/>
    </xf>
    <xf numFmtId="0" fontId="27" fillId="23" borderId="26" xfId="0" applyFont="1" applyFill="1" applyBorder="1" applyAlignment="1">
      <alignment horizontal="right"/>
    </xf>
    <xf numFmtId="0" fontId="27" fillId="23" borderId="27" xfId="0" applyFont="1" applyFill="1" applyBorder="1" applyAlignment="1">
      <alignment horizontal="right"/>
    </xf>
    <xf numFmtId="0" fontId="28" fillId="0" borderId="26" xfId="0" applyFont="1" applyBorder="1" applyAlignment="1">
      <alignment horizontal="left" vertical="center"/>
    </xf>
    <xf numFmtId="0" fontId="27" fillId="0" borderId="11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8" fillId="0" borderId="25" xfId="0" applyFont="1" applyBorder="1" applyAlignment="1">
      <alignment horizontal="left" vertical="center"/>
    </xf>
    <xf numFmtId="0" fontId="28" fillId="0" borderId="2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22" borderId="19" xfId="0" applyFont="1" applyFill="1" applyBorder="1" applyAlignment="1">
      <alignment horizontal="center"/>
    </xf>
    <xf numFmtId="174" fontId="45" fillId="0" borderId="0" xfId="0" applyNumberFormat="1" applyFont="1" applyAlignment="1">
      <alignment horizontal="center"/>
    </xf>
    <xf numFmtId="0" fontId="28" fillId="0" borderId="11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6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17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25" xfId="0" applyFont="1" applyBorder="1" applyAlignment="1">
      <alignment horizontal="right"/>
    </xf>
    <xf numFmtId="0" fontId="28" fillId="23" borderId="14" xfId="0" applyFont="1" applyFill="1" applyBorder="1" applyAlignment="1">
      <alignment horizontal="right"/>
    </xf>
    <xf numFmtId="0" fontId="28" fillId="23" borderId="15" xfId="0" applyFont="1" applyFill="1" applyBorder="1" applyAlignment="1">
      <alignment horizontal="right"/>
    </xf>
    <xf numFmtId="0" fontId="28" fillId="23" borderId="13" xfId="0" applyFont="1" applyFill="1" applyBorder="1" applyAlignment="1">
      <alignment horizontal="right"/>
    </xf>
    <xf numFmtId="0" fontId="27" fillId="23" borderId="25" xfId="0" applyFont="1" applyFill="1" applyBorder="1" applyAlignment="1">
      <alignment horizontal="right"/>
    </xf>
    <xf numFmtId="0" fontId="28" fillId="0" borderId="13" xfId="0" applyFont="1" applyBorder="1" applyAlignment="1">
      <alignment horizontal="left"/>
    </xf>
    <xf numFmtId="0" fontId="28" fillId="0" borderId="14" xfId="0" applyFont="1" applyBorder="1" applyAlignment="1">
      <alignment horizontal="left"/>
    </xf>
    <xf numFmtId="0" fontId="28" fillId="0" borderId="15" xfId="0" applyFont="1" applyBorder="1" applyAlignment="1">
      <alignment horizontal="left"/>
    </xf>
    <xf numFmtId="0" fontId="45" fillId="0" borderId="0" xfId="0" applyFont="1" applyAlignment="1">
      <alignment horizontal="left"/>
    </xf>
    <xf numFmtId="0" fontId="27" fillId="0" borderId="18" xfId="0" applyFont="1" applyBorder="1" applyAlignment="1">
      <alignment horizontal="center"/>
    </xf>
    <xf numFmtId="0" fontId="40" fillId="0" borderId="25" xfId="0" applyFont="1" applyBorder="1" applyAlignment="1">
      <alignment horizontal="left"/>
    </xf>
    <xf numFmtId="0" fontId="40" fillId="0" borderId="37" xfId="5" applyFont="1" applyFill="1" applyBorder="1" applyAlignment="1" applyProtection="1">
      <alignment horizontal="center" vertical="center" wrapText="1"/>
    </xf>
    <xf numFmtId="0" fontId="40" fillId="0" borderId="38" xfId="5" applyFont="1" applyFill="1" applyBorder="1" applyAlignment="1" applyProtection="1">
      <alignment horizontal="center" vertical="center" wrapText="1"/>
    </xf>
    <xf numFmtId="0" fontId="40" fillId="0" borderId="31" xfId="5" applyFont="1" applyFill="1" applyBorder="1" applyAlignment="1" applyProtection="1">
      <alignment horizontal="center" vertical="center" wrapText="1"/>
    </xf>
    <xf numFmtId="0" fontId="40" fillId="0" borderId="39" xfId="5" applyFont="1" applyFill="1" applyBorder="1" applyAlignment="1" applyProtection="1">
      <alignment horizontal="center" vertical="center" wrapText="1"/>
    </xf>
    <xf numFmtId="0" fontId="40" fillId="0" borderId="18" xfId="5" applyFont="1" applyFill="1" applyBorder="1" applyAlignment="1" applyProtection="1">
      <alignment horizontal="center" vertical="center" wrapText="1"/>
    </xf>
    <xf numFmtId="0" fontId="40" fillId="0" borderId="12" xfId="5" applyFont="1" applyFill="1" applyBorder="1" applyAlignment="1" applyProtection="1">
      <alignment horizontal="center" vertical="center" wrapText="1"/>
    </xf>
    <xf numFmtId="0" fontId="42" fillId="0" borderId="0" xfId="0" applyFont="1" applyAlignment="1">
      <alignment horizontal="center"/>
    </xf>
    <xf numFmtId="0" fontId="41" fillId="0" borderId="35" xfId="3" applyFont="1" applyBorder="1" applyAlignment="1" applyProtection="1">
      <alignment horizontal="center" vertical="center"/>
    </xf>
    <xf numFmtId="0" fontId="41" fillId="0" borderId="36" xfId="3" applyFont="1" applyBorder="1" applyAlignment="1" applyProtection="1">
      <alignment horizontal="center" vertical="center"/>
    </xf>
    <xf numFmtId="0" fontId="41" fillId="0" borderId="0" xfId="3" applyFont="1" applyBorder="1" applyAlignment="1" applyProtection="1">
      <alignment horizontal="center" vertical="center"/>
    </xf>
    <xf numFmtId="0" fontId="41" fillId="0" borderId="0" xfId="0" applyFont="1" applyAlignment="1">
      <alignment horizontal="center"/>
    </xf>
    <xf numFmtId="0" fontId="19" fillId="0" borderId="0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2"/>
    </xf>
    <xf numFmtId="0" fontId="18" fillId="0" borderId="0" xfId="0" applyFont="1" applyBorder="1" applyAlignment="1">
      <alignment horizontal="left" vertical="center" wrapText="1" indent="2"/>
    </xf>
    <xf numFmtId="0" fontId="5" fillId="0" borderId="16" xfId="3" applyFont="1" applyBorder="1" applyAlignment="1" applyProtection="1">
      <alignment horizontal="left" vertical="top"/>
    </xf>
    <xf numFmtId="0" fontId="5" fillId="0" borderId="17" xfId="3" applyFont="1" applyBorder="1" applyAlignment="1" applyProtection="1">
      <alignment horizontal="left" vertical="top"/>
    </xf>
    <xf numFmtId="0" fontId="0" fillId="3" borderId="10" xfId="0" applyFont="1" applyFill="1" applyBorder="1" applyAlignment="1" applyProtection="1">
      <alignment horizontal="left"/>
      <protection locked="0"/>
    </xf>
    <xf numFmtId="0" fontId="5" fillId="0" borderId="9" xfId="3" applyFont="1" applyBorder="1" applyAlignment="1" applyProtection="1">
      <alignment horizontal="left" vertical="top"/>
    </xf>
    <xf numFmtId="0" fontId="5" fillId="0" borderId="0" xfId="0" applyFont="1" applyBorder="1" applyAlignment="1">
      <alignment horizontal="left" vertical="center" wrapText="1" indent="2"/>
    </xf>
    <xf numFmtId="167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167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1" xfId="0" applyFont="1" applyFill="1" applyBorder="1" applyAlignment="1" applyProtection="1">
      <alignment horizontal="left" vertical="top" wrapText="1"/>
      <protection locked="0"/>
    </xf>
    <xf numFmtId="0" fontId="0" fillId="3" borderId="12" xfId="0" applyFont="1" applyFill="1" applyBorder="1" applyAlignment="1" applyProtection="1">
      <alignment horizontal="left" vertical="top" wrapText="1"/>
      <protection locked="0"/>
    </xf>
    <xf numFmtId="0" fontId="0" fillId="3" borderId="18" xfId="0" applyFont="1" applyFill="1" applyBorder="1" applyAlignment="1" applyProtection="1">
      <alignment horizontal="left" vertical="top" wrapText="1"/>
      <protection locked="0"/>
    </xf>
    <xf numFmtId="0" fontId="5" fillId="0" borderId="0" xfId="3" applyFont="1" applyBorder="1" applyAlignment="1" applyProtection="1">
      <alignment horizontal="left" vertical="top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3" borderId="18" xfId="0" applyNumberFormat="1" applyFont="1" applyFill="1" applyBorder="1" applyAlignment="1" applyProtection="1">
      <alignment horizontal="left" vertical="top" wrapText="1"/>
      <protection locked="0"/>
    </xf>
    <xf numFmtId="49" fontId="0" fillId="3" borderId="12" xfId="0" applyNumberFormat="1" applyFont="1" applyFill="1" applyBorder="1" applyAlignment="1" applyProtection="1">
      <alignment horizontal="left" vertical="top" wrapText="1"/>
      <protection locked="0"/>
    </xf>
    <xf numFmtId="0" fontId="11" fillId="0" borderId="16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left"/>
    </xf>
    <xf numFmtId="0" fontId="0" fillId="3" borderId="11" xfId="0" applyFont="1" applyFill="1" applyBorder="1" applyAlignment="1" applyProtection="1">
      <alignment horizontal="left"/>
      <protection locked="0"/>
    </xf>
    <xf numFmtId="0" fontId="0" fillId="3" borderId="18" xfId="0" applyFont="1" applyFill="1" applyBorder="1" applyAlignment="1" applyProtection="1">
      <alignment horizontal="left"/>
      <protection locked="0"/>
    </xf>
    <xf numFmtId="0" fontId="5" fillId="0" borderId="16" xfId="0" applyFont="1" applyBorder="1" applyAlignment="1" applyProtection="1">
      <alignment horizontal="left"/>
    </xf>
    <xf numFmtId="0" fontId="5" fillId="0" borderId="17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2"/>
    </xf>
    <xf numFmtId="0" fontId="5" fillId="0" borderId="16" xfId="3" applyFont="1" applyBorder="1" applyAlignment="1" applyProtection="1">
      <alignment vertical="top"/>
    </xf>
    <xf numFmtId="0" fontId="5" fillId="0" borderId="0" xfId="3" applyFont="1" applyBorder="1" applyAlignment="1" applyProtection="1">
      <alignment vertical="top"/>
    </xf>
    <xf numFmtId="0" fontId="5" fillId="0" borderId="17" xfId="3" applyFont="1" applyBorder="1" applyAlignment="1" applyProtection="1">
      <alignment vertical="top"/>
    </xf>
    <xf numFmtId="0" fontId="7" fillId="2" borderId="25" xfId="0" applyFont="1" applyFill="1" applyBorder="1" applyAlignment="1" applyProtection="1">
      <alignment horizontal="center" vertical="center" wrapText="1"/>
    </xf>
    <xf numFmtId="0" fontId="7" fillId="2" borderId="27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 wrapText="1"/>
    </xf>
    <xf numFmtId="49" fontId="0" fillId="0" borderId="0" xfId="0" applyNumberFormat="1" applyBorder="1" applyAlignment="1" applyProtection="1"/>
    <xf numFmtId="0" fontId="0" fillId="0" borderId="0" xfId="0" applyFont="1" applyBorder="1" applyAlignment="1" applyProtection="1"/>
    <xf numFmtId="49" fontId="0" fillId="0" borderId="0" xfId="0" applyNumberFormat="1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 wrapText="1"/>
    </xf>
    <xf numFmtId="49" fontId="0" fillId="4" borderId="0" xfId="0" applyNumberFormat="1" applyFont="1" applyFill="1" applyBorder="1" applyAlignment="1" applyProtection="1">
      <alignment horizontal="left" vertical="center" wrapText="1"/>
      <protection locked="0"/>
    </xf>
    <xf numFmtId="0" fontId="0" fillId="4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horizontal="left"/>
    </xf>
    <xf numFmtId="0" fontId="0" fillId="0" borderId="25" xfId="0" applyFont="1" applyBorder="1" applyAlignment="1" applyProtection="1">
      <alignment horizontal="left"/>
    </xf>
    <xf numFmtId="0" fontId="2" fillId="3" borderId="13" xfId="0" applyFont="1" applyFill="1" applyBorder="1" applyAlignment="1" applyProtection="1">
      <alignment horizontal="left" vertical="top" wrapText="1"/>
      <protection locked="0"/>
    </xf>
    <xf numFmtId="0" fontId="2" fillId="3" borderId="14" xfId="0" applyFont="1" applyFill="1" applyBorder="1" applyAlignment="1" applyProtection="1">
      <alignment horizontal="left" vertical="top" wrapText="1"/>
      <protection locked="0"/>
    </xf>
    <xf numFmtId="0" fontId="2" fillId="3" borderId="15" xfId="0" applyFont="1" applyFill="1" applyBorder="1" applyAlignment="1" applyProtection="1">
      <alignment horizontal="left" vertical="top" wrapText="1"/>
      <protection locked="0"/>
    </xf>
    <xf numFmtId="0" fontId="0" fillId="3" borderId="13" xfId="0" applyFont="1" applyFill="1" applyBorder="1" applyAlignment="1" applyProtection="1">
      <alignment horizontal="left" vertical="top"/>
      <protection locked="0"/>
    </xf>
    <xf numFmtId="0" fontId="0" fillId="3" borderId="14" xfId="0" applyFont="1" applyFill="1" applyBorder="1" applyAlignment="1" applyProtection="1">
      <alignment horizontal="left" vertical="top"/>
      <protection locked="0"/>
    </xf>
    <xf numFmtId="0" fontId="0" fillId="3" borderId="15" xfId="0" applyFont="1" applyFill="1" applyBorder="1" applyAlignment="1" applyProtection="1">
      <alignment horizontal="left" vertical="top"/>
      <protection locked="0"/>
    </xf>
    <xf numFmtId="0" fontId="5" fillId="6" borderId="13" xfId="0" applyFont="1" applyFill="1" applyBorder="1" applyAlignment="1" applyProtection="1">
      <alignment horizontal="left" vertical="center"/>
    </xf>
    <xf numFmtId="0" fontId="5" fillId="6" borderId="14" xfId="0" applyFont="1" applyFill="1" applyBorder="1" applyAlignment="1" applyProtection="1">
      <alignment horizontal="left" vertical="center"/>
    </xf>
    <xf numFmtId="0" fontId="5" fillId="6" borderId="15" xfId="0" applyFont="1" applyFill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center" wrapText="1"/>
    </xf>
    <xf numFmtId="0" fontId="0" fillId="0" borderId="18" xfId="0" applyFill="1" applyBorder="1" applyAlignment="1" applyProtection="1">
      <alignment horizontal="left"/>
      <protection locked="0"/>
    </xf>
    <xf numFmtId="0" fontId="0" fillId="0" borderId="18" xfId="0" applyFont="1" applyFill="1" applyBorder="1" applyAlignment="1" applyProtection="1">
      <alignment horizontal="left"/>
      <protection locked="0"/>
    </xf>
    <xf numFmtId="0" fontId="9" fillId="0" borderId="25" xfId="0" applyFont="1" applyBorder="1" applyAlignment="1" applyProtection="1">
      <alignment horizontal="left"/>
    </xf>
    <xf numFmtId="0" fontId="0" fillId="0" borderId="25" xfId="0" applyBorder="1" applyAlignment="1" applyProtection="1"/>
    <xf numFmtId="0" fontId="0" fillId="0" borderId="25" xfId="0" applyFont="1" applyBorder="1" applyAlignment="1" applyProtection="1"/>
    <xf numFmtId="0" fontId="0" fillId="0" borderId="25" xfId="0" applyFont="1" applyBorder="1" applyAlignment="1" applyProtection="1">
      <alignment horizontal="left" vertical="center" wrapText="1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right" vertical="center"/>
    </xf>
    <xf numFmtId="0" fontId="14" fillId="8" borderId="23" xfId="0" applyFont="1" applyFill="1" applyBorder="1" applyProtection="1"/>
    <xf numFmtId="0" fontId="14" fillId="8" borderId="22" xfId="0" applyFont="1" applyFill="1" applyBorder="1" applyProtection="1"/>
    <xf numFmtId="0" fontId="14" fillId="8" borderId="24" xfId="0" applyFont="1" applyFill="1" applyBorder="1" applyProtection="1"/>
    <xf numFmtId="0" fontId="14" fillId="8" borderId="22" xfId="0" applyFont="1" applyFill="1" applyBorder="1" applyProtection="1">
      <protection locked="0"/>
    </xf>
    <xf numFmtId="0" fontId="14" fillId="8" borderId="2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left" wrapText="1"/>
    </xf>
    <xf numFmtId="0" fontId="2" fillId="0" borderId="6" xfId="0" applyFont="1" applyBorder="1" applyAlignment="1" applyProtection="1">
      <alignment horizontal="left" wrapText="1"/>
    </xf>
    <xf numFmtId="0" fontId="2" fillId="0" borderId="7" xfId="0" applyFont="1" applyBorder="1" applyProtection="1"/>
    <xf numFmtId="0" fontId="2" fillId="0" borderId="6" xfId="0" applyFont="1" applyBorder="1" applyProtection="1"/>
    <xf numFmtId="166" fontId="2" fillId="0" borderId="7" xfId="1" applyNumberFormat="1" applyFont="1" applyBorder="1" applyProtection="1"/>
    <xf numFmtId="166" fontId="2" fillId="0" borderId="8" xfId="1" applyNumberFormat="1" applyFont="1" applyBorder="1" applyProtection="1"/>
    <xf numFmtId="166" fontId="2" fillId="0" borderId="6" xfId="1" applyNumberFormat="1" applyFont="1" applyBorder="1" applyProtection="1"/>
    <xf numFmtId="165" fontId="2" fillId="0" borderId="7" xfId="1" applyFont="1" applyBorder="1" applyProtection="1"/>
    <xf numFmtId="165" fontId="2" fillId="0" borderId="8" xfId="1" applyFont="1" applyBorder="1" applyProtection="1"/>
    <xf numFmtId="165" fontId="2" fillId="0" borderId="6" xfId="1" applyFont="1" applyBorder="1" applyProtection="1"/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165" fontId="5" fillId="7" borderId="20" xfId="1" applyNumberFormat="1" applyFont="1" applyFill="1" applyBorder="1" applyProtection="1"/>
    <xf numFmtId="165" fontId="5" fillId="7" borderId="20" xfId="1" applyFont="1" applyFill="1" applyBorder="1" applyProtection="1"/>
    <xf numFmtId="0" fontId="5" fillId="7" borderId="20" xfId="0" applyFont="1" applyFill="1" applyBorder="1" applyProtection="1">
      <protection locked="0"/>
    </xf>
    <xf numFmtId="0" fontId="4" fillId="7" borderId="13" xfId="0" applyFont="1" applyFill="1" applyBorder="1" applyAlignment="1" applyProtection="1">
      <alignment horizontal="center" vertical="center" wrapText="1"/>
    </xf>
    <xf numFmtId="0" fontId="4" fillId="7" borderId="14" xfId="0" applyFont="1" applyFill="1" applyBorder="1" applyAlignment="1" applyProtection="1">
      <alignment horizontal="center" vertical="center" wrapText="1"/>
    </xf>
    <xf numFmtId="0" fontId="4" fillId="7" borderId="15" xfId="0" applyFont="1" applyFill="1" applyBorder="1" applyAlignment="1" applyProtection="1">
      <alignment horizontal="center" vertical="center" wrapText="1"/>
    </xf>
    <xf numFmtId="0" fontId="11" fillId="7" borderId="14" xfId="0" applyFont="1" applyFill="1" applyBorder="1" applyAlignment="1" applyProtection="1">
      <alignment horizontal="center"/>
    </xf>
    <xf numFmtId="0" fontId="2" fillId="7" borderId="20" xfId="0" applyFont="1" applyFill="1" applyBorder="1" applyProtection="1"/>
    <xf numFmtId="0" fontId="5" fillId="7" borderId="20" xfId="0" applyFont="1" applyFill="1" applyBorder="1" applyProtection="1"/>
    <xf numFmtId="0" fontId="5" fillId="6" borderId="13" xfId="0" applyFont="1" applyFill="1" applyBorder="1" applyAlignment="1" applyProtection="1">
      <alignment horizontal="center" vertical="center" wrapText="1" shrinkToFit="1"/>
    </xf>
    <xf numFmtId="0" fontId="5" fillId="6" borderId="15" xfId="0" applyFont="1" applyFill="1" applyBorder="1" applyAlignment="1" applyProtection="1">
      <alignment horizontal="center" vertical="center" wrapText="1" shrinkToFit="1"/>
    </xf>
    <xf numFmtId="0" fontId="5" fillId="6" borderId="14" xfId="0" applyFont="1" applyFill="1" applyBorder="1" applyAlignment="1" applyProtection="1">
      <alignment horizontal="center" vertical="center" wrapText="1" shrinkToFi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26" fillId="3" borderId="16" xfId="0" applyFont="1" applyFill="1" applyBorder="1" applyAlignment="1" applyProtection="1">
      <alignment horizontal="left" vertical="top" wrapText="1"/>
      <protection locked="0"/>
    </xf>
    <xf numFmtId="0" fontId="26" fillId="3" borderId="0" xfId="0" applyFont="1" applyFill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vertical="center" wrapText="1"/>
    </xf>
    <xf numFmtId="0" fontId="7" fillId="0" borderId="18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 indent="17"/>
    </xf>
    <xf numFmtId="0" fontId="22" fillId="0" borderId="9" xfId="0" applyFont="1" applyBorder="1" applyAlignment="1" applyProtection="1">
      <alignment horizontal="center" vertical="center" wrapText="1"/>
    </xf>
    <xf numFmtId="0" fontId="22" fillId="0" borderId="10" xfId="0" applyFont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shrinkToFit="1"/>
      <protection locked="0" hidden="1"/>
    </xf>
    <xf numFmtId="0" fontId="7" fillId="0" borderId="12" xfId="0" applyNumberFormat="1" applyFont="1" applyFill="1" applyBorder="1" applyAlignment="1" applyProtection="1">
      <alignment horizontal="center" shrinkToFit="1"/>
      <protection locked="0" hidden="1"/>
    </xf>
    <xf numFmtId="0" fontId="2" fillId="0" borderId="0" xfId="0" applyFont="1" applyFill="1" applyBorder="1" applyAlignment="1" applyProtection="1">
      <alignment horizontal="center" vertical="top" wrapText="1"/>
    </xf>
    <xf numFmtId="0" fontId="5" fillId="5" borderId="14" xfId="0" applyFont="1" applyFill="1" applyBorder="1" applyAlignment="1" applyProtection="1">
      <alignment horizontal="center"/>
    </xf>
    <xf numFmtId="0" fontId="27" fillId="3" borderId="13" xfId="0" applyFont="1" applyFill="1" applyBorder="1" applyAlignment="1" applyProtection="1">
      <alignment horizontal="left" vertical="top"/>
      <protection locked="0"/>
    </xf>
    <xf numFmtId="0" fontId="27" fillId="3" borderId="14" xfId="0" applyFont="1" applyFill="1" applyBorder="1" applyAlignment="1" applyProtection="1">
      <alignment horizontal="left" vertical="top"/>
      <protection locked="0"/>
    </xf>
    <xf numFmtId="0" fontId="27" fillId="3" borderId="15" xfId="0" applyFont="1" applyFill="1" applyBorder="1" applyAlignment="1" applyProtection="1">
      <alignment horizontal="left" vertical="top"/>
      <protection locked="0"/>
    </xf>
    <xf numFmtId="0" fontId="29" fillId="6" borderId="13" xfId="0" applyFont="1" applyFill="1" applyBorder="1" applyAlignment="1" applyProtection="1">
      <alignment horizontal="left" vertical="center"/>
    </xf>
    <xf numFmtId="0" fontId="29" fillId="6" borderId="14" xfId="0" applyFont="1" applyFill="1" applyBorder="1" applyAlignment="1" applyProtection="1">
      <alignment horizontal="left" vertical="center"/>
    </xf>
    <xf numFmtId="0" fontId="29" fillId="6" borderId="15" xfId="0" applyFont="1" applyFill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 vertical="center" wrapText="1"/>
    </xf>
    <xf numFmtId="0" fontId="27" fillId="0" borderId="18" xfId="0" applyFont="1" applyFill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left" vertical="center" wrapText="1"/>
    </xf>
    <xf numFmtId="0" fontId="27" fillId="4" borderId="25" xfId="0" applyFont="1" applyFill="1" applyBorder="1" applyAlignment="1" applyProtection="1">
      <alignment horizontal="left" vertical="center" wrapText="1"/>
      <protection locked="0"/>
    </xf>
    <xf numFmtId="0" fontId="27" fillId="0" borderId="25" xfId="0" applyFont="1" applyBorder="1" applyAlignment="1" applyProtection="1">
      <alignment horizontal="right" vertical="center"/>
    </xf>
    <xf numFmtId="49" fontId="27" fillId="0" borderId="0" xfId="0" applyNumberFormat="1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49" fontId="27" fillId="0" borderId="0" xfId="0" applyNumberFormat="1" applyFont="1" applyBorder="1" applyAlignment="1" applyProtection="1">
      <alignment horizontal="left" vertical="center" wrapText="1"/>
    </xf>
    <xf numFmtId="49" fontId="27" fillId="4" borderId="0" xfId="0" applyNumberFormat="1" applyFont="1" applyFill="1" applyBorder="1" applyAlignment="1" applyProtection="1">
      <alignment horizontal="left" vertical="center" wrapText="1"/>
      <protection locked="0"/>
    </xf>
    <xf numFmtId="0" fontId="27" fillId="4" borderId="0" xfId="0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Border="1" applyAlignment="1" applyProtection="1">
      <alignment horizontal="right" vertical="center"/>
    </xf>
    <xf numFmtId="0" fontId="27" fillId="0" borderId="0" xfId="0" applyFont="1" applyBorder="1" applyAlignment="1" applyProtection="1">
      <alignment horizontal="left"/>
    </xf>
    <xf numFmtId="0" fontId="27" fillId="0" borderId="25" xfId="0" applyFont="1" applyBorder="1" applyAlignment="1" applyProtection="1">
      <alignment horizontal="left"/>
    </xf>
    <xf numFmtId="0" fontId="35" fillId="8" borderId="23" xfId="0" applyFont="1" applyFill="1" applyBorder="1" applyProtection="1"/>
    <xf numFmtId="0" fontId="35" fillId="8" borderId="22" xfId="0" applyFont="1" applyFill="1" applyBorder="1" applyProtection="1"/>
    <xf numFmtId="0" fontId="35" fillId="8" borderId="24" xfId="0" applyFont="1" applyFill="1" applyBorder="1" applyProtection="1"/>
    <xf numFmtId="0" fontId="35" fillId="8" borderId="22" xfId="0" applyFont="1" applyFill="1" applyBorder="1" applyProtection="1">
      <protection locked="0"/>
    </xf>
    <xf numFmtId="0" fontId="35" fillId="8" borderId="21" xfId="0" applyFont="1" applyFill="1" applyBorder="1" applyProtection="1">
      <protection locked="0"/>
    </xf>
    <xf numFmtId="0" fontId="30" fillId="0" borderId="1" xfId="0" applyFont="1" applyBorder="1" applyAlignment="1" applyProtection="1">
      <alignment horizontal="left" wrapText="1"/>
    </xf>
    <xf numFmtId="0" fontId="30" fillId="0" borderId="6" xfId="0" applyFont="1" applyBorder="1" applyAlignment="1" applyProtection="1">
      <alignment horizontal="left" wrapText="1"/>
    </xf>
    <xf numFmtId="0" fontId="30" fillId="0" borderId="7" xfId="0" applyFont="1" applyBorder="1" applyProtection="1"/>
    <xf numFmtId="0" fontId="30" fillId="0" borderId="6" xfId="0" applyFont="1" applyBorder="1" applyProtection="1"/>
    <xf numFmtId="166" fontId="30" fillId="0" borderId="7" xfId="1" applyNumberFormat="1" applyFont="1" applyBorder="1" applyProtection="1"/>
    <xf numFmtId="166" fontId="30" fillId="0" borderId="8" xfId="1" applyNumberFormat="1" applyFont="1" applyBorder="1" applyProtection="1"/>
    <xf numFmtId="166" fontId="30" fillId="0" borderId="6" xfId="1" applyNumberFormat="1" applyFont="1" applyBorder="1" applyProtection="1"/>
    <xf numFmtId="165" fontId="30" fillId="0" borderId="7" xfId="1" applyFont="1" applyBorder="1" applyProtection="1"/>
    <xf numFmtId="165" fontId="30" fillId="0" borderId="8" xfId="1" applyFont="1" applyBorder="1" applyProtection="1"/>
    <xf numFmtId="165" fontId="30" fillId="0" borderId="6" xfId="1" applyFont="1" applyBorder="1" applyProtection="1"/>
    <xf numFmtId="0" fontId="30" fillId="0" borderId="3" xfId="0" applyFont="1" applyBorder="1" applyProtection="1">
      <protection locked="0"/>
    </xf>
    <xf numFmtId="0" fontId="30" fillId="0" borderId="4" xfId="0" applyFont="1" applyBorder="1" applyProtection="1">
      <protection locked="0"/>
    </xf>
    <xf numFmtId="165" fontId="29" fillId="7" borderId="20" xfId="1" applyNumberFormat="1" applyFont="1" applyFill="1" applyBorder="1" applyProtection="1"/>
    <xf numFmtId="165" fontId="29" fillId="7" borderId="20" xfId="1" applyFont="1" applyFill="1" applyBorder="1" applyProtection="1"/>
    <xf numFmtId="0" fontId="29" fillId="7" borderId="20" xfId="0" applyFont="1" applyFill="1" applyBorder="1" applyProtection="1">
      <protection locked="0"/>
    </xf>
    <xf numFmtId="0" fontId="38" fillId="7" borderId="14" xfId="0" applyFont="1" applyFill="1" applyBorder="1" applyAlignment="1" applyProtection="1">
      <alignment horizontal="center" vertical="center"/>
    </xf>
    <xf numFmtId="0" fontId="38" fillId="7" borderId="14" xfId="0" applyFont="1" applyFill="1" applyBorder="1" applyAlignment="1" applyProtection="1">
      <alignment horizontal="center"/>
    </xf>
    <xf numFmtId="0" fontId="30" fillId="7" borderId="20" xfId="0" applyFont="1" applyFill="1" applyBorder="1" applyProtection="1"/>
    <xf numFmtId="0" fontId="29" fillId="7" borderId="20" xfId="0" applyFont="1" applyFill="1" applyBorder="1" applyProtection="1"/>
    <xf numFmtId="0" fontId="29" fillId="6" borderId="13" xfId="0" applyFont="1" applyFill="1" applyBorder="1" applyAlignment="1" applyProtection="1">
      <alignment horizontal="center" vertical="center" wrapText="1" shrinkToFit="1"/>
    </xf>
    <xf numFmtId="0" fontId="29" fillId="6" borderId="15" xfId="0" applyFont="1" applyFill="1" applyBorder="1" applyAlignment="1" applyProtection="1">
      <alignment horizontal="center" vertical="center" wrapText="1" shrinkToFit="1"/>
    </xf>
    <xf numFmtId="0" fontId="29" fillId="6" borderId="14" xfId="0" applyFont="1" applyFill="1" applyBorder="1" applyAlignment="1" applyProtection="1">
      <alignment horizontal="center" vertical="center" wrapText="1" shrinkToFit="1"/>
    </xf>
    <xf numFmtId="0" fontId="29" fillId="0" borderId="13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38" fillId="3" borderId="16" xfId="0" applyFont="1" applyFill="1" applyBorder="1" applyAlignment="1" applyProtection="1">
      <alignment horizontal="left" vertical="top" wrapText="1"/>
      <protection locked="0"/>
    </xf>
    <xf numFmtId="0" fontId="38" fillId="3" borderId="0" xfId="0" applyFont="1" applyFill="1" applyBorder="1" applyAlignment="1" applyProtection="1">
      <alignment horizontal="left" vertical="top" wrapText="1"/>
      <protection locked="0"/>
    </xf>
    <xf numFmtId="0" fontId="29" fillId="0" borderId="11" xfId="0" applyFont="1" applyBorder="1" applyAlignment="1" applyProtection="1">
      <alignment horizontal="center" vertical="center" wrapText="1"/>
    </xf>
    <xf numFmtId="0" fontId="29" fillId="0" borderId="18" xfId="0" applyFont="1" applyBorder="1" applyAlignment="1" applyProtection="1">
      <alignment horizontal="center" vertical="center" wrapText="1"/>
    </xf>
    <xf numFmtId="0" fontId="29" fillId="0" borderId="12" xfId="0" applyFont="1" applyBorder="1" applyAlignment="1" applyProtection="1">
      <alignment horizontal="center" vertical="center" wrapText="1"/>
    </xf>
    <xf numFmtId="0" fontId="29" fillId="0" borderId="11" xfId="0" applyFont="1" applyBorder="1" applyAlignment="1" applyProtection="1">
      <alignment vertical="center" wrapText="1"/>
    </xf>
    <xf numFmtId="0" fontId="29" fillId="0" borderId="18" xfId="0" applyFont="1" applyBorder="1" applyAlignment="1" applyProtection="1">
      <alignment vertical="center" wrapText="1"/>
    </xf>
    <xf numFmtId="0" fontId="29" fillId="5" borderId="14" xfId="0" applyFont="1" applyFill="1" applyBorder="1" applyAlignment="1" applyProtection="1">
      <alignment horizontal="center" vertical="center"/>
    </xf>
    <xf numFmtId="0" fontId="29" fillId="5" borderId="14" xfId="0" applyFont="1" applyFill="1" applyBorder="1" applyAlignment="1" applyProtection="1">
      <alignment horizontal="center"/>
    </xf>
    <xf numFmtId="0" fontId="30" fillId="0" borderId="16" xfId="0" applyNumberFormat="1" applyFont="1" applyFill="1" applyBorder="1" applyAlignment="1" applyProtection="1">
      <alignment horizontal="left" vertical="center"/>
    </xf>
    <xf numFmtId="0" fontId="30" fillId="0" borderId="17" xfId="0" applyNumberFormat="1" applyFont="1" applyFill="1" applyBorder="1" applyAlignment="1" applyProtection="1">
      <alignment horizontal="left" vertical="center"/>
    </xf>
    <xf numFmtId="0" fontId="29" fillId="0" borderId="16" xfId="0" applyFont="1" applyBorder="1" applyAlignment="1" applyProtection="1">
      <alignment horizontal="left" vertical="center"/>
    </xf>
    <xf numFmtId="0" fontId="29" fillId="0" borderId="17" xfId="0" applyFont="1" applyBorder="1" applyAlignment="1" applyProtection="1">
      <alignment horizontal="left" vertical="center"/>
    </xf>
    <xf numFmtId="0" fontId="29" fillId="9" borderId="11" xfId="0" applyNumberFormat="1" applyFont="1" applyFill="1" applyBorder="1" applyAlignment="1" applyProtection="1">
      <alignment horizontal="left" vertical="center"/>
    </xf>
    <xf numFmtId="0" fontId="29" fillId="9" borderId="12" xfId="0" applyNumberFormat="1" applyFont="1" applyFill="1" applyBorder="1" applyAlignment="1" applyProtection="1">
      <alignment horizontal="left" vertical="center"/>
    </xf>
    <xf numFmtId="14" fontId="29" fillId="9" borderId="11" xfId="0" applyNumberFormat="1" applyFont="1" applyFill="1" applyBorder="1" applyAlignment="1" applyProtection="1">
      <alignment horizontal="left" vertical="center"/>
    </xf>
    <xf numFmtId="14" fontId="29" fillId="9" borderId="12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32" fillId="0" borderId="30" xfId="0" applyFont="1" applyBorder="1" applyAlignment="1" applyProtection="1">
      <alignment horizontal="center" vertical="center" wrapText="1"/>
    </xf>
    <xf numFmtId="0" fontId="32" fillId="0" borderId="10" xfId="0" applyFont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17" xfId="0" applyFont="1" applyFill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left" vertical="center"/>
    </xf>
    <xf numFmtId="0" fontId="29" fillId="0" borderId="11" xfId="0" applyNumberFormat="1" applyFont="1" applyFill="1" applyBorder="1" applyAlignment="1" applyProtection="1">
      <alignment horizontal="center" vertical="center" shrinkToFit="1"/>
      <protection locked="0" hidden="1"/>
    </xf>
    <xf numFmtId="0" fontId="29" fillId="0" borderId="12" xfId="0" applyNumberFormat="1" applyFont="1" applyFill="1" applyBorder="1" applyAlignment="1" applyProtection="1">
      <alignment horizontal="center" vertical="center" shrinkToFit="1"/>
      <protection locked="0" hidden="1"/>
    </xf>
    <xf numFmtId="0" fontId="30" fillId="0" borderId="0" xfId="0" applyFont="1" applyFill="1" applyBorder="1" applyAlignment="1" applyProtection="1">
      <alignment horizontal="center" vertical="center" wrapText="1"/>
    </xf>
    <xf numFmtId="0" fontId="29" fillId="7" borderId="13" xfId="0" applyFont="1" applyFill="1" applyBorder="1" applyAlignment="1" applyProtection="1">
      <alignment horizontal="center" vertical="center" wrapText="1"/>
    </xf>
    <xf numFmtId="0" fontId="29" fillId="7" borderId="14" xfId="0" applyFont="1" applyFill="1" applyBorder="1" applyAlignment="1" applyProtection="1">
      <alignment horizontal="center" vertical="center" wrapText="1"/>
    </xf>
    <xf numFmtId="0" fontId="29" fillId="7" borderId="15" xfId="0" applyFont="1" applyFill="1" applyBorder="1" applyAlignment="1" applyProtection="1">
      <alignment horizontal="center" vertical="center" wrapText="1"/>
    </xf>
    <xf numFmtId="0" fontId="30" fillId="3" borderId="13" xfId="0" applyFont="1" applyFill="1" applyBorder="1" applyAlignment="1" applyProtection="1">
      <alignment horizontal="left" vertical="center" wrapText="1"/>
      <protection locked="0"/>
    </xf>
    <xf numFmtId="0" fontId="30" fillId="3" borderId="14" xfId="0" applyFont="1" applyFill="1" applyBorder="1" applyAlignment="1" applyProtection="1">
      <alignment horizontal="left" vertical="center" wrapText="1"/>
      <protection locked="0"/>
    </xf>
    <xf numFmtId="0" fontId="30" fillId="3" borderId="15" xfId="0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Border="1" applyAlignment="1">
      <alignment horizontal="left" vertical="center"/>
    </xf>
    <xf numFmtId="0" fontId="28" fillId="9" borderId="16" xfId="0" applyFont="1" applyFill="1" applyBorder="1" applyAlignment="1">
      <alignment horizontal="left" vertical="center"/>
    </xf>
    <xf numFmtId="0" fontId="28" fillId="9" borderId="17" xfId="0" applyFont="1" applyFill="1" applyBorder="1" applyAlignment="1">
      <alignment horizontal="left" vertical="center"/>
    </xf>
    <xf numFmtId="0" fontId="28" fillId="9" borderId="11" xfId="0" applyFont="1" applyFill="1" applyBorder="1" applyAlignment="1">
      <alignment horizontal="left" vertical="center"/>
    </xf>
    <xf numFmtId="0" fontId="28" fillId="9" borderId="18" xfId="0" applyFont="1" applyFill="1" applyBorder="1" applyAlignment="1">
      <alignment horizontal="left" vertical="center"/>
    </xf>
    <xf numFmtId="0" fontId="28" fillId="9" borderId="12" xfId="0" applyFont="1" applyFill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9" fillId="9" borderId="11" xfId="0" applyFont="1" applyFill="1" applyBorder="1" applyAlignment="1" applyProtection="1">
      <alignment horizontal="left" vertical="center"/>
    </xf>
    <xf numFmtId="0" fontId="29" fillId="9" borderId="18" xfId="0" applyFont="1" applyFill="1" applyBorder="1" applyAlignment="1" applyProtection="1">
      <alignment horizontal="left" vertical="center"/>
    </xf>
    <xf numFmtId="0" fontId="29" fillId="9" borderId="18" xfId="0" applyNumberFormat="1" applyFont="1" applyFill="1" applyBorder="1" applyAlignment="1" applyProtection="1">
      <alignment horizontal="left" vertical="center"/>
    </xf>
    <xf numFmtId="14" fontId="29" fillId="0" borderId="11" xfId="0" applyNumberFormat="1" applyFont="1" applyFill="1" applyBorder="1" applyAlignment="1" applyProtection="1">
      <alignment horizontal="center" vertical="center" shrinkToFit="1"/>
      <protection locked="0" hidden="1"/>
    </xf>
    <xf numFmtId="0" fontId="44" fillId="17" borderId="0" xfId="0" applyFont="1" applyFill="1" applyAlignment="1">
      <alignment horizontal="left" vertical="center"/>
    </xf>
    <xf numFmtId="0" fontId="44" fillId="24" borderId="0" xfId="0" applyFont="1" applyFill="1" applyAlignment="1">
      <alignment horizontal="left" vertical="center"/>
    </xf>
    <xf numFmtId="0" fontId="44" fillId="0" borderId="0" xfId="0" applyFont="1" applyFill="1" applyAlignment="1">
      <alignment vertical="center"/>
    </xf>
  </cellXfs>
  <cellStyles count="6">
    <cellStyle name="Moeda" xfId="4" builtinId="4"/>
    <cellStyle name="Normal" xfId="0" builtinId="0"/>
    <cellStyle name="Normal 2" xfId="5"/>
    <cellStyle name="Normal_FICHA DE VERIFICAÇÃO PRELIMINAR - Plano R" xfId="3"/>
    <cellStyle name="Porcentagem" xfId="2" builtinId="5"/>
    <cellStyle name="Separador de milhares" xfId="1" builtinId="3"/>
  </cellStyles>
  <dxfs count="118">
    <dxf>
      <font>
        <color rgb="FFFFFFFF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rgb="FFFFFFFF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rgb="FFFFFFFF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b/>
        <i val="0"/>
        <condense val="0"/>
        <extend val="0"/>
        <color rgb="FF000000"/>
      </font>
      <fill>
        <patternFill>
          <bgColor rgb="FFC0C0C0"/>
        </patternFill>
      </fill>
    </dxf>
    <dxf>
      <font>
        <b/>
        <i val="0"/>
        <condense val="0"/>
        <extend val="0"/>
        <color rgb="FF000000"/>
      </font>
      <fill>
        <patternFill>
          <bgColor rgb="FF969696"/>
        </patternFill>
      </fill>
    </dxf>
    <dxf>
      <font>
        <b/>
        <i val="0"/>
        <condense val="0"/>
        <extend val="0"/>
        <color rgb="FFFFFFFF"/>
      </font>
      <fill>
        <patternFill>
          <bgColor rgb="FFFF0000"/>
        </patternFill>
      </fill>
    </dxf>
    <dxf>
      <font>
        <b/>
        <i val="0"/>
        <condense val="0"/>
        <extend val="0"/>
        <color rgb="FF000000"/>
      </font>
      <fill>
        <patternFill>
          <bgColor rgb="FFC0C0C0"/>
        </patternFill>
      </fill>
    </dxf>
    <dxf>
      <font>
        <b/>
        <i val="0"/>
        <condense val="0"/>
        <extend val="0"/>
        <color rgb="FF000000"/>
      </font>
      <fill>
        <patternFill>
          <bgColor rgb="FF969696"/>
        </patternFill>
      </fill>
    </dxf>
    <dxf>
      <font>
        <b/>
        <i val="0"/>
        <condense val="0"/>
        <extend val="0"/>
        <color rgb="FF000000"/>
      </font>
      <fill>
        <patternFill>
          <bgColor rgb="FFFFCC00"/>
        </patternFill>
      </fill>
    </dxf>
    <dxf>
      <font>
        <b/>
        <i val="0"/>
        <condense val="0"/>
        <extend val="0"/>
      </font>
      <fill>
        <patternFill>
          <bgColor rgb="FFC0C0C0"/>
        </patternFill>
      </fill>
    </dxf>
    <dxf>
      <font>
        <b/>
        <i val="0"/>
        <condense val="0"/>
        <extend val="0"/>
      </font>
      <fill>
        <patternFill>
          <bgColor rgb="FF969696"/>
        </patternFill>
      </fill>
    </dxf>
    <dxf>
      <font>
        <condense val="0"/>
        <extend val="0"/>
        <color rgb="FFC0C0C0"/>
      </font>
      <fill>
        <patternFill>
          <bgColor rgb="FFC0C0C0"/>
        </patternFill>
      </fill>
    </dxf>
    <dxf>
      <font>
        <condense val="0"/>
        <extend val="0"/>
        <color rgb="FF969696"/>
      </font>
      <fill>
        <patternFill>
          <bgColor rgb="FF969696"/>
        </patternFill>
      </fill>
    </dxf>
    <dxf>
      <font>
        <b/>
        <i val="0"/>
        <condense val="0"/>
        <extend val="0"/>
        <color indexed="8"/>
      </font>
      <fill>
        <patternFill>
          <bgColor indexed="22"/>
        </patternFill>
      </fill>
    </dxf>
    <dxf>
      <font>
        <b/>
        <i val="0"/>
        <condense val="0"/>
        <extend val="0"/>
        <color indexed="8"/>
      </font>
      <fill>
        <patternFill>
          <bgColor indexed="5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22"/>
        </patternFill>
      </fill>
    </dxf>
    <dxf>
      <font>
        <b/>
        <i val="0"/>
        <condense val="0"/>
        <extend val="0"/>
        <color indexed="8"/>
      </font>
      <fill>
        <patternFill>
          <bgColor indexed="55"/>
        </patternFill>
      </fill>
    </dxf>
    <dxf>
      <font>
        <b/>
        <i val="0"/>
        <condense val="0"/>
        <extend val="0"/>
        <color indexed="8"/>
      </font>
      <fill>
        <patternFill>
          <bgColor indexed="51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5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b/>
        <i val="0"/>
        <condense val="0"/>
        <extend val="0"/>
      </font>
      <fill>
        <patternFill>
          <bgColor rgb="FFC0C0C0"/>
        </patternFill>
      </fill>
    </dxf>
    <dxf>
      <font>
        <b/>
        <i val="0"/>
        <condense val="0"/>
        <extend val="0"/>
      </font>
      <fill>
        <patternFill patternType="solid">
          <bgColor rgb="FF969696"/>
        </patternFill>
      </fill>
    </dxf>
    <dxf>
      <font>
        <b/>
        <i val="0"/>
        <color rgb="FFFF0000"/>
      </font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 patternType="solid">
          <bgColor indexed="55"/>
        </patternFill>
      </fill>
    </dxf>
    <dxf>
      <font>
        <color rgb="FFFFFFFF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rgb="FFFFFFFF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rgb="FFFFFFFF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b/>
        <i val="0"/>
        <condense val="0"/>
        <extend val="0"/>
        <color rgb="FF000000"/>
      </font>
      <fill>
        <patternFill>
          <bgColor rgb="FFC0C0C0"/>
        </patternFill>
      </fill>
    </dxf>
    <dxf>
      <font>
        <b/>
        <i val="0"/>
        <condense val="0"/>
        <extend val="0"/>
        <color rgb="FF000000"/>
      </font>
      <fill>
        <patternFill>
          <bgColor rgb="FF969696"/>
        </patternFill>
      </fill>
    </dxf>
    <dxf>
      <font>
        <b/>
        <i val="0"/>
        <condense val="0"/>
        <extend val="0"/>
        <color rgb="FFFFFFFF"/>
      </font>
      <fill>
        <patternFill>
          <bgColor rgb="FFFF0000"/>
        </patternFill>
      </fill>
    </dxf>
    <dxf>
      <font>
        <b/>
        <i val="0"/>
        <condense val="0"/>
        <extend val="0"/>
        <color rgb="FF000000"/>
      </font>
      <fill>
        <patternFill>
          <bgColor rgb="FFC0C0C0"/>
        </patternFill>
      </fill>
    </dxf>
    <dxf>
      <font>
        <b/>
        <i val="0"/>
        <condense val="0"/>
        <extend val="0"/>
        <color rgb="FF000000"/>
      </font>
      <fill>
        <patternFill>
          <bgColor rgb="FF969696"/>
        </patternFill>
      </fill>
    </dxf>
    <dxf>
      <font>
        <b/>
        <i val="0"/>
        <condense val="0"/>
        <extend val="0"/>
        <color rgb="FF000000"/>
      </font>
      <fill>
        <patternFill>
          <bgColor rgb="FFFFCC00"/>
        </patternFill>
      </fill>
    </dxf>
    <dxf>
      <font>
        <b/>
        <i val="0"/>
        <condense val="0"/>
        <extend val="0"/>
      </font>
      <fill>
        <patternFill>
          <bgColor rgb="FFC0C0C0"/>
        </patternFill>
      </fill>
    </dxf>
    <dxf>
      <font>
        <b/>
        <i val="0"/>
        <condense val="0"/>
        <extend val="0"/>
      </font>
      <fill>
        <patternFill>
          <bgColor rgb="FF969696"/>
        </patternFill>
      </fill>
    </dxf>
    <dxf>
      <font>
        <condense val="0"/>
        <extend val="0"/>
        <color rgb="FFC0C0C0"/>
      </font>
      <fill>
        <patternFill>
          <bgColor rgb="FFC0C0C0"/>
        </patternFill>
      </fill>
    </dxf>
    <dxf>
      <font>
        <condense val="0"/>
        <extend val="0"/>
        <color rgb="FF969696"/>
      </font>
      <fill>
        <patternFill>
          <bgColor rgb="FF969696"/>
        </patternFill>
      </fill>
    </dxf>
    <dxf>
      <font>
        <b/>
        <i val="0"/>
        <condense val="0"/>
        <extend val="0"/>
        <color indexed="8"/>
      </font>
      <fill>
        <patternFill>
          <bgColor indexed="22"/>
        </patternFill>
      </fill>
    </dxf>
    <dxf>
      <font>
        <b/>
        <i val="0"/>
        <condense val="0"/>
        <extend val="0"/>
        <color indexed="8"/>
      </font>
      <fill>
        <patternFill>
          <bgColor indexed="5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22"/>
        </patternFill>
      </fill>
    </dxf>
    <dxf>
      <font>
        <b/>
        <i val="0"/>
        <condense val="0"/>
        <extend val="0"/>
        <color indexed="8"/>
      </font>
      <fill>
        <patternFill>
          <bgColor indexed="55"/>
        </patternFill>
      </fill>
    </dxf>
    <dxf>
      <font>
        <b/>
        <i val="0"/>
        <condense val="0"/>
        <extend val="0"/>
        <color indexed="8"/>
      </font>
      <fill>
        <patternFill>
          <bgColor indexed="51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5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b/>
        <i val="0"/>
        <condense val="0"/>
        <extend val="0"/>
      </font>
      <fill>
        <patternFill>
          <bgColor rgb="FFC0C0C0"/>
        </patternFill>
      </fill>
    </dxf>
    <dxf>
      <font>
        <b/>
        <i val="0"/>
        <condense val="0"/>
        <extend val="0"/>
      </font>
      <fill>
        <patternFill patternType="solid">
          <bgColor rgb="FF969696"/>
        </patternFill>
      </fill>
    </dxf>
    <dxf>
      <font>
        <b/>
        <i val="0"/>
        <color rgb="FFFF0000"/>
      </font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 patternType="solid">
          <bgColor indexed="55"/>
        </patternFill>
      </fill>
    </dxf>
    <dxf>
      <font>
        <b/>
        <i val="0"/>
        <condense val="0"/>
        <extend val="0"/>
        <color rgb="FF000000"/>
      </font>
      <fill>
        <patternFill>
          <bgColor rgb="FFC0C0C0"/>
        </patternFill>
      </fill>
    </dxf>
    <dxf>
      <font>
        <b/>
        <i val="0"/>
        <condense val="0"/>
        <extend val="0"/>
        <color rgb="FF000000"/>
      </font>
      <fill>
        <patternFill>
          <bgColor rgb="FF969696"/>
        </patternFill>
      </fill>
    </dxf>
    <dxf>
      <font>
        <b/>
        <i val="0"/>
        <condense val="0"/>
        <extend val="0"/>
        <color rgb="FFFFFFFF"/>
      </font>
      <fill>
        <patternFill>
          <bgColor rgb="FFFF0000"/>
        </patternFill>
      </fill>
    </dxf>
    <dxf>
      <font>
        <b/>
        <i val="0"/>
        <condense val="0"/>
        <extend val="0"/>
        <color rgb="FF000000"/>
      </font>
      <fill>
        <patternFill>
          <bgColor rgb="FFC0C0C0"/>
        </patternFill>
      </fill>
    </dxf>
    <dxf>
      <font>
        <b/>
        <i val="0"/>
        <condense val="0"/>
        <extend val="0"/>
        <color rgb="FF000000"/>
      </font>
      <fill>
        <patternFill>
          <bgColor rgb="FF969696"/>
        </patternFill>
      </fill>
    </dxf>
    <dxf>
      <font>
        <b/>
        <i val="0"/>
        <condense val="0"/>
        <extend val="0"/>
        <color rgb="FF000000"/>
      </font>
      <fill>
        <patternFill>
          <bgColor rgb="FFFFCC00"/>
        </patternFill>
      </fill>
    </dxf>
    <dxf>
      <font>
        <b/>
        <i val="0"/>
        <condense val="0"/>
        <extend val="0"/>
      </font>
      <fill>
        <patternFill>
          <bgColor rgb="FFC0C0C0"/>
        </patternFill>
      </fill>
    </dxf>
    <dxf>
      <font>
        <b/>
        <i val="0"/>
        <condense val="0"/>
        <extend val="0"/>
      </font>
      <fill>
        <patternFill>
          <bgColor rgb="FF969696"/>
        </patternFill>
      </fill>
    </dxf>
    <dxf>
      <font>
        <condense val="0"/>
        <extend val="0"/>
        <color rgb="FFC0C0C0"/>
      </font>
      <fill>
        <patternFill>
          <bgColor rgb="FFC0C0C0"/>
        </patternFill>
      </fill>
    </dxf>
    <dxf>
      <font>
        <condense val="0"/>
        <extend val="0"/>
        <color rgb="FF969696"/>
      </font>
      <fill>
        <patternFill>
          <bgColor rgb="FF969696"/>
        </patternFill>
      </fill>
    </dxf>
    <dxf>
      <font>
        <b/>
        <i val="0"/>
        <condense val="0"/>
        <extend val="0"/>
      </font>
      <fill>
        <patternFill>
          <bgColor rgb="FFC0C0C0"/>
        </patternFill>
      </fill>
    </dxf>
    <dxf>
      <font>
        <b/>
        <i val="0"/>
        <condense val="0"/>
        <extend val="0"/>
      </font>
      <fill>
        <patternFill patternType="solid">
          <bgColor rgb="FF969696"/>
        </patternFill>
      </fill>
    </dxf>
    <dxf>
      <font>
        <color rgb="FFFFFFFF"/>
      </font>
      <border>
        <left/>
        <right/>
        <top/>
        <bottom/>
      </border>
    </dxf>
    <dxf>
      <font>
        <b/>
        <i val="0"/>
        <color rgb="FFFF0000"/>
      </font>
    </dxf>
    <dxf>
      <font>
        <b/>
        <i val="0"/>
        <condense val="0"/>
        <extend val="0"/>
        <color indexed="8"/>
      </font>
      <fill>
        <patternFill>
          <bgColor indexed="22"/>
        </patternFill>
      </fill>
    </dxf>
    <dxf>
      <font>
        <b/>
        <i val="0"/>
        <condense val="0"/>
        <extend val="0"/>
        <color indexed="8"/>
      </font>
      <fill>
        <patternFill>
          <bgColor indexed="5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22"/>
        </patternFill>
      </fill>
    </dxf>
    <dxf>
      <font>
        <b/>
        <i val="0"/>
        <condense val="0"/>
        <extend val="0"/>
        <color indexed="8"/>
      </font>
      <fill>
        <patternFill>
          <bgColor indexed="55"/>
        </patternFill>
      </fill>
    </dxf>
    <dxf>
      <font>
        <b/>
        <i val="0"/>
        <condense val="0"/>
        <extend val="0"/>
        <color indexed="8"/>
      </font>
      <fill>
        <patternFill>
          <bgColor indexed="51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5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 patternType="solid">
          <bgColor indexed="55"/>
        </patternFill>
      </fill>
    </dxf>
    <dxf>
      <font>
        <color theme="0"/>
      </font>
      <border>
        <left/>
        <right/>
        <top/>
        <bottom/>
      </border>
    </dxf>
    <dxf>
      <font>
        <b/>
        <i val="0"/>
        <condense val="0"/>
        <extend val="0"/>
        <color rgb="FF000000"/>
      </font>
      <fill>
        <patternFill>
          <bgColor rgb="FFC0C0C0"/>
        </patternFill>
      </fill>
    </dxf>
    <dxf>
      <font>
        <b/>
        <i val="0"/>
        <condense val="0"/>
        <extend val="0"/>
        <color rgb="FF000000"/>
      </font>
      <fill>
        <patternFill>
          <bgColor rgb="FF969696"/>
        </patternFill>
      </fill>
    </dxf>
    <dxf>
      <font>
        <b/>
        <i val="0"/>
        <condense val="0"/>
        <extend val="0"/>
        <color rgb="FFFFFFFF"/>
      </font>
      <fill>
        <patternFill>
          <bgColor rgb="FFFF0000"/>
        </patternFill>
      </fill>
    </dxf>
    <dxf>
      <font>
        <b/>
        <i val="0"/>
        <condense val="0"/>
        <extend val="0"/>
        <color rgb="FF000000"/>
      </font>
      <fill>
        <patternFill>
          <bgColor rgb="FFC0C0C0"/>
        </patternFill>
      </fill>
    </dxf>
    <dxf>
      <font>
        <b/>
        <i val="0"/>
        <condense val="0"/>
        <extend val="0"/>
        <color rgb="FF000000"/>
      </font>
      <fill>
        <patternFill>
          <bgColor rgb="FF969696"/>
        </patternFill>
      </fill>
    </dxf>
    <dxf>
      <font>
        <b/>
        <i val="0"/>
        <condense val="0"/>
        <extend val="0"/>
        <color rgb="FF000000"/>
      </font>
      <fill>
        <patternFill>
          <bgColor rgb="FFFFCC00"/>
        </patternFill>
      </fill>
    </dxf>
    <dxf>
      <font>
        <b/>
        <i val="0"/>
        <condense val="0"/>
        <extend val="0"/>
      </font>
      <fill>
        <patternFill>
          <bgColor rgb="FFC0C0C0"/>
        </patternFill>
      </fill>
    </dxf>
    <dxf>
      <font>
        <b/>
        <i val="0"/>
        <condense val="0"/>
        <extend val="0"/>
      </font>
      <fill>
        <patternFill>
          <bgColor rgb="FF969696"/>
        </patternFill>
      </fill>
    </dxf>
    <dxf>
      <font>
        <condense val="0"/>
        <extend val="0"/>
        <color rgb="FFC0C0C0"/>
      </font>
      <fill>
        <patternFill>
          <bgColor rgb="FFC0C0C0"/>
        </patternFill>
      </fill>
    </dxf>
    <dxf>
      <font>
        <condense val="0"/>
        <extend val="0"/>
        <color rgb="FF969696"/>
      </font>
      <fill>
        <patternFill>
          <bgColor rgb="FF969696"/>
        </patternFill>
      </fill>
    </dxf>
    <dxf>
      <font>
        <b/>
        <i val="0"/>
        <condense val="0"/>
        <extend val="0"/>
      </font>
      <fill>
        <patternFill>
          <bgColor rgb="FFC0C0C0"/>
        </patternFill>
      </fill>
    </dxf>
    <dxf>
      <font>
        <b/>
        <i val="0"/>
        <condense val="0"/>
        <extend val="0"/>
      </font>
      <fill>
        <patternFill patternType="solid">
          <bgColor rgb="FF969696"/>
        </patternFill>
      </fill>
    </dxf>
    <dxf>
      <font>
        <color rgb="FFFFFFFF"/>
      </font>
      <border>
        <left/>
        <right/>
        <top/>
        <bottom/>
      </border>
    </dxf>
    <dxf>
      <font>
        <b/>
        <i val="0"/>
        <color rgb="FFFF0000"/>
      </font>
    </dxf>
    <dxf>
      <font>
        <b/>
        <i val="0"/>
        <condense val="0"/>
        <extend val="0"/>
        <color indexed="8"/>
      </font>
      <fill>
        <patternFill>
          <bgColor indexed="22"/>
        </patternFill>
      </fill>
    </dxf>
    <dxf>
      <font>
        <b/>
        <i val="0"/>
        <condense val="0"/>
        <extend val="0"/>
        <color indexed="8"/>
      </font>
      <fill>
        <patternFill>
          <bgColor indexed="5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22"/>
        </patternFill>
      </fill>
    </dxf>
    <dxf>
      <font>
        <b/>
        <i val="0"/>
        <condense val="0"/>
        <extend val="0"/>
        <color indexed="8"/>
      </font>
      <fill>
        <patternFill>
          <bgColor indexed="55"/>
        </patternFill>
      </fill>
    </dxf>
    <dxf>
      <font>
        <b/>
        <i val="0"/>
        <condense val="0"/>
        <extend val="0"/>
        <color indexed="8"/>
      </font>
      <fill>
        <patternFill>
          <bgColor indexed="51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5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 patternType="solid">
          <bgColor indexed="55"/>
        </patternFill>
      </fill>
    </dxf>
    <dxf>
      <font>
        <color theme="0"/>
      </font>
      <border>
        <left/>
        <right/>
        <top/>
        <bottom/>
      </border>
    </dxf>
    <dxf>
      <font>
        <condense val="0"/>
        <extend val="0"/>
        <color rgb="FFFFFFFF"/>
      </font>
      <fill>
        <patternFill>
          <bgColor rgb="FFFFFFFF"/>
        </patternFill>
      </fill>
      <border>
        <left/>
        <right/>
        <top/>
        <bottom/>
      </border>
    </dxf>
    <dxf>
      <border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</xdr:row>
      <xdr:rowOff>7620</xdr:rowOff>
    </xdr:from>
    <xdr:to>
      <xdr:col>14</xdr:col>
      <xdr:colOff>774300</xdr:colOff>
      <xdr:row>2</xdr:row>
      <xdr:rowOff>7620</xdr:rowOff>
    </xdr:to>
    <xdr:sp macro="" textlink="">
      <xdr:nvSpPr>
        <xdr:cNvPr id="2" name="AutoShape 2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>
          <a:spLocks noChangeShapeType="1"/>
        </xdr:cNvSpPr>
      </xdr:nvSpPr>
      <xdr:spPr bwMode="auto">
        <a:xfrm>
          <a:off x="45720" y="586740"/>
          <a:ext cx="8615280" cy="0"/>
        </a:xfrm>
        <a:prstGeom prst="straightConnector1">
          <a:avLst/>
        </a:prstGeom>
        <a:noFill/>
        <a:ln w="12700">
          <a:solidFill>
            <a:srgbClr val="CFCDCD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</xdr:row>
      <xdr:rowOff>53340</xdr:rowOff>
    </xdr:from>
    <xdr:to>
      <xdr:col>12</xdr:col>
      <xdr:colOff>1020480</xdr:colOff>
      <xdr:row>2</xdr:row>
      <xdr:rowOff>53340</xdr:rowOff>
    </xdr:to>
    <xdr:sp macro="" textlink="">
      <xdr:nvSpPr>
        <xdr:cNvPr id="1026" name="AutoShape 2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>
          <a:spLocks noChangeShapeType="1"/>
        </xdr:cNvSpPr>
      </xdr:nvSpPr>
      <xdr:spPr bwMode="auto">
        <a:xfrm>
          <a:off x="15240" y="541020"/>
          <a:ext cx="12420000" cy="0"/>
        </a:xfrm>
        <a:prstGeom prst="straightConnector1">
          <a:avLst/>
        </a:prstGeom>
        <a:noFill/>
        <a:ln w="12700">
          <a:solidFill>
            <a:srgbClr val="CFCDCD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2</xdr:row>
      <xdr:rowOff>45720</xdr:rowOff>
    </xdr:from>
    <xdr:to>
      <xdr:col>14</xdr:col>
      <xdr:colOff>28860</xdr:colOff>
      <xdr:row>2</xdr:row>
      <xdr:rowOff>45720</xdr:rowOff>
    </xdr:to>
    <xdr:sp macro="" textlink="">
      <xdr:nvSpPr>
        <xdr:cNvPr id="2" name="AutoShape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175260" y="960120"/>
          <a:ext cx="12037980" cy="0"/>
        </a:xfrm>
        <a:prstGeom prst="straightConnector1">
          <a:avLst/>
        </a:prstGeom>
        <a:noFill/>
        <a:ln w="12700">
          <a:solidFill>
            <a:srgbClr val="CFCDCD"/>
          </a:solidFill>
          <a:round/>
          <a:headEnd/>
          <a:tailEnd/>
        </a:ln>
      </xdr:spPr>
    </xdr:sp>
    <xdr:clientData/>
  </xdr:twoCellAnchor>
  <xdr:twoCellAnchor>
    <xdr:from>
      <xdr:col>3</xdr:col>
      <xdr:colOff>692150</xdr:colOff>
      <xdr:row>39</xdr:row>
      <xdr:rowOff>0</xdr:rowOff>
    </xdr:from>
    <xdr:to>
      <xdr:col>3</xdr:col>
      <xdr:colOff>1572683</xdr:colOff>
      <xdr:row>43</xdr:row>
      <xdr:rowOff>152400</xdr:rowOff>
    </xdr:to>
    <xdr:sp macro="" textlink="">
      <xdr:nvSpPr>
        <xdr:cNvPr id="5" name="CaixaDeTexto 4">
          <a:extLst>
            <a:ext uri="{FF2B5EF4-FFF2-40B4-BE49-F238E27FC236}">
              <a16:creationId xmlns="" xmlns:a16="http://schemas.microsoft.com/office/drawing/2014/main" id="{C5ADFEDA-7431-4941-8EE6-082722229498}"/>
            </a:ext>
          </a:extLst>
        </xdr:cNvPr>
        <xdr:cNvSpPr txBox="1"/>
      </xdr:nvSpPr>
      <xdr:spPr>
        <a:xfrm>
          <a:off x="2886710" y="10386060"/>
          <a:ext cx="880533" cy="92202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pt-BR" sz="1100"/>
            <a:t>Período:</a:t>
          </a:r>
        </a:p>
      </xdr:txBody>
    </xdr:sp>
    <xdr:clientData/>
  </xdr:twoCellAnchor>
  <xdr:twoCellAnchor>
    <xdr:from>
      <xdr:col>3</xdr:col>
      <xdr:colOff>692150</xdr:colOff>
      <xdr:row>44</xdr:row>
      <xdr:rowOff>4208</xdr:rowOff>
    </xdr:from>
    <xdr:to>
      <xdr:col>3</xdr:col>
      <xdr:colOff>1573746</xdr:colOff>
      <xdr:row>49</xdr:row>
      <xdr:rowOff>14791</xdr:rowOff>
    </xdr:to>
    <xdr:sp macro="" textlink="">
      <xdr:nvSpPr>
        <xdr:cNvPr id="6" name="CaixaDeTexto 5">
          <a:extLst>
            <a:ext uri="{FF2B5EF4-FFF2-40B4-BE49-F238E27FC236}">
              <a16:creationId xmlns="" xmlns:a16="http://schemas.microsoft.com/office/drawing/2014/main" id="{32E88063-DE19-4A01-AD9E-B872940CF22D}"/>
            </a:ext>
          </a:extLst>
        </xdr:cNvPr>
        <xdr:cNvSpPr txBox="1"/>
      </xdr:nvSpPr>
      <xdr:spPr>
        <a:xfrm>
          <a:off x="2886710" y="11342768"/>
          <a:ext cx="881596" cy="92498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pt-BR" sz="1100"/>
            <a:t>Acumulado: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12</xdr:col>
      <xdr:colOff>1524000</xdr:colOff>
      <xdr:row>3</xdr:row>
      <xdr:rowOff>45720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r="96767"/>
        <a:stretch>
          <a:fillRect/>
        </a:stretch>
      </xdr:blipFill>
      <xdr:spPr bwMode="auto">
        <a:xfrm>
          <a:off x="0" y="30480"/>
          <a:ext cx="2476500" cy="57912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30480</xdr:rowOff>
    </xdr:from>
    <xdr:to>
      <xdr:col>12</xdr:col>
      <xdr:colOff>1492250</xdr:colOff>
      <xdr:row>3</xdr:row>
      <xdr:rowOff>7620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r="96767"/>
        <a:stretch>
          <a:fillRect/>
        </a:stretch>
      </xdr:blipFill>
      <xdr:spPr bwMode="auto">
        <a:xfrm>
          <a:off x="0" y="30480"/>
          <a:ext cx="2432050" cy="49149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.eng\AppData\Roaming\Microsoft\Excel\B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.conv\AppData\Local\Microsoft\Windows\INetCache\Content.Outlook\JWG2M4RY\Andre\2018\OBRAS\RUA%20MANOEL%20D%20LEITE\EMENDA%20PENA-2013\PROCESSO%202018\PLANILHA_MULTIPLA_2_v05\NOVA%20VERS&#195;O%20SINAPI\PLANILHA%20M&#218;LTIPLA%20V3.0.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.conv\AppData\Local\Microsoft\Windows\INetCache\Content.Outlook\JWG2M4RY\PLANILHA,%20CRONOGRAMA,%20QCI%20E%20BD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"/>
      <sheetName val="BM"/>
    </sheetNames>
    <sheetDataSet>
      <sheetData sheetId="0" refreshError="1">
        <row r="23">
          <cell r="D23" t="str">
            <v>SP</v>
          </cell>
        </row>
        <row r="29">
          <cell r="I29">
            <v>44047</v>
          </cell>
        </row>
        <row r="34">
          <cell r="A34" t="str">
            <v>Empreitada Preço Unitário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 refreshError="1">
        <row r="3">
          <cell r="O3">
            <v>1</v>
          </cell>
        </row>
      </sheetData>
      <sheetData sheetId="1" refreshError="1">
        <row r="4">
          <cell r="F4" t="str">
            <v>OGU</v>
          </cell>
        </row>
        <row r="5">
          <cell r="F5" t="str">
            <v>Prefeitura Municipal de Paranapanema</v>
          </cell>
        </row>
        <row r="6">
          <cell r="F6" t="str">
            <v>Paranapanema/SP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O"/>
      <sheetName val="CRO"/>
      <sheetName val="QCI"/>
      <sheetName val="BDI"/>
    </sheetNames>
    <sheetDataSet>
      <sheetData sheetId="0">
        <row r="24">
          <cell r="M24">
            <v>5788.8724999999995</v>
          </cell>
        </row>
        <row r="37">
          <cell r="M37">
            <v>7954.2000000000007</v>
          </cell>
        </row>
        <row r="39">
          <cell r="M39">
            <v>4040</v>
          </cell>
        </row>
        <row r="45">
          <cell r="M45">
            <v>112.53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03"/>
  <sheetViews>
    <sheetView tabSelected="1" view="pageLayout" topLeftCell="A79" zoomScaleNormal="85" workbookViewId="0">
      <selection activeCell="F81" sqref="F81"/>
    </sheetView>
  </sheetViews>
  <sheetFormatPr defaultRowHeight="13.2"/>
  <cols>
    <col min="1" max="1" width="5.77734375" style="551" customWidth="1"/>
    <col min="2" max="2" width="8" style="551" customWidth="1"/>
    <col min="3" max="3" width="10.21875" style="551" customWidth="1"/>
    <col min="4" max="4" width="57.109375" style="553" customWidth="1"/>
    <col min="5" max="5" width="8.21875" style="551" customWidth="1"/>
    <col min="6" max="6" width="10.5546875" style="551" customWidth="1"/>
    <col min="7" max="7" width="9.21875" style="551" hidden="1" customWidth="1"/>
    <col min="8" max="8" width="11.6640625" style="551" hidden="1" customWidth="1"/>
    <col min="9" max="9" width="10.88671875" style="551" customWidth="1"/>
    <col min="10" max="10" width="11.21875" style="551" hidden="1" customWidth="1"/>
    <col min="11" max="11" width="8.77734375" style="551" hidden="1" customWidth="1"/>
    <col min="12" max="12" width="11.21875" style="551" hidden="1" customWidth="1"/>
    <col min="13" max="14" width="13.6640625" style="551" hidden="1" customWidth="1"/>
    <col min="15" max="15" width="12.44140625" style="551" customWidth="1"/>
    <col min="16" max="16" width="15.6640625" hidden="1" customWidth="1"/>
  </cols>
  <sheetData>
    <row r="1" spans="1:27" ht="22.8">
      <c r="A1" s="556" t="s">
        <v>364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</row>
    <row r="2" spans="1:27" ht="22.8">
      <c r="A2" s="557" t="s">
        <v>365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</row>
    <row r="3" spans="1:27" ht="15.6" customHeight="1"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</row>
    <row r="5" spans="1:27">
      <c r="A5" s="519"/>
      <c r="B5" s="520"/>
      <c r="C5" s="520"/>
      <c r="D5" s="559" t="s">
        <v>404</v>
      </c>
      <c r="E5" s="560"/>
      <c r="F5" s="560"/>
      <c r="G5" s="560"/>
      <c r="H5" s="561"/>
      <c r="I5" s="562" t="s">
        <v>291</v>
      </c>
      <c r="J5" s="563"/>
      <c r="K5" s="564"/>
      <c r="L5" s="565"/>
      <c r="M5" s="566"/>
      <c r="N5" s="567"/>
      <c r="O5" s="567"/>
      <c r="P5" s="568"/>
    </row>
    <row r="6" spans="1:27" ht="19.2" customHeight="1">
      <c r="A6" s="519" t="s">
        <v>27</v>
      </c>
      <c r="B6" s="519" t="s">
        <v>303</v>
      </c>
      <c r="C6" s="519" t="s">
        <v>301</v>
      </c>
      <c r="D6" s="521" t="s">
        <v>28</v>
      </c>
      <c r="E6" s="519" t="s">
        <v>29</v>
      </c>
      <c r="F6" s="519" t="s">
        <v>30</v>
      </c>
      <c r="G6" s="522" t="s">
        <v>31</v>
      </c>
      <c r="H6" s="522" t="s">
        <v>32</v>
      </c>
      <c r="I6" s="523" t="s">
        <v>291</v>
      </c>
      <c r="J6" s="523" t="s">
        <v>290</v>
      </c>
      <c r="K6" s="524"/>
      <c r="L6" s="525"/>
      <c r="M6" s="526" t="s">
        <v>31</v>
      </c>
      <c r="N6" s="526" t="s">
        <v>308</v>
      </c>
      <c r="O6" s="527" t="s">
        <v>324</v>
      </c>
      <c r="P6" s="375" t="s">
        <v>300</v>
      </c>
    </row>
    <row r="7" spans="1:27">
      <c r="A7" s="528"/>
      <c r="B7" s="528"/>
      <c r="C7" s="528"/>
      <c r="D7" s="529"/>
      <c r="E7" s="528"/>
      <c r="F7" s="528" t="s">
        <v>39</v>
      </c>
      <c r="G7" s="528"/>
      <c r="H7" s="530">
        <v>185801.47100000002</v>
      </c>
      <c r="I7" s="530">
        <v>0</v>
      </c>
      <c r="J7" s="530">
        <f>ROUND(SUM(J8,J11,J14,J27,J29,J35,J39,J48,J59,J64,J70,J80,J82),2)</f>
        <v>59056.13</v>
      </c>
      <c r="K7" s="530"/>
      <c r="L7" s="530"/>
      <c r="M7" s="530"/>
      <c r="N7" s="531">
        <v>0.25</v>
      </c>
      <c r="O7" s="530"/>
      <c r="P7" s="376">
        <f>SUM(P8,P11,P14,P29,P35,P39,P48,P59,P64,P70,P80,P82)</f>
        <v>177736.81699999998</v>
      </c>
    </row>
    <row r="8" spans="1:27">
      <c r="A8" s="532">
        <v>1</v>
      </c>
      <c r="B8" s="532"/>
      <c r="C8" s="532"/>
      <c r="D8" s="533" t="s">
        <v>40</v>
      </c>
      <c r="E8" s="532"/>
      <c r="F8" s="534"/>
      <c r="G8" s="534"/>
      <c r="H8" s="535">
        <v>8356.7099999999991</v>
      </c>
      <c r="I8" s="534">
        <v>0</v>
      </c>
      <c r="J8" s="534">
        <f>ROUND(J9+J10,2)</f>
        <v>8356.7099999999991</v>
      </c>
      <c r="K8" s="534"/>
      <c r="L8" s="534"/>
      <c r="M8" s="534"/>
      <c r="N8" s="534"/>
      <c r="O8" s="534"/>
      <c r="P8" s="377">
        <f>P9+P10</f>
        <v>0</v>
      </c>
    </row>
    <row r="9" spans="1:27" ht="39.6">
      <c r="A9" s="528" t="s">
        <v>41</v>
      </c>
      <c r="B9" s="528" t="s">
        <v>309</v>
      </c>
      <c r="C9" s="528">
        <v>93208</v>
      </c>
      <c r="D9" s="536" t="s">
        <v>42</v>
      </c>
      <c r="E9" s="528" t="s">
        <v>43</v>
      </c>
      <c r="F9" s="530">
        <v>9.9999329915904429</v>
      </c>
      <c r="G9" s="530">
        <v>596.94000000000005</v>
      </c>
      <c r="H9" s="537">
        <v>5969.36</v>
      </c>
      <c r="I9" s="530">
        <v>10</v>
      </c>
      <c r="J9" s="530">
        <v>5969.36</v>
      </c>
      <c r="K9" s="530"/>
      <c r="L9" s="538"/>
      <c r="M9" s="539">
        <v>837.99</v>
      </c>
      <c r="N9" s="539">
        <f t="shared" ref="N9:N73" si="0">M9+(M9*$N$7)</f>
        <v>1047.4875</v>
      </c>
      <c r="O9" s="540">
        <f>ROUND(F9-I9,2)</f>
        <v>0</v>
      </c>
      <c r="P9" s="374">
        <f>N9*O9</f>
        <v>0</v>
      </c>
    </row>
    <row r="10" spans="1:27">
      <c r="A10" s="528" t="s">
        <v>44</v>
      </c>
      <c r="B10" s="528" t="s">
        <v>309</v>
      </c>
      <c r="C10" s="528" t="s">
        <v>326</v>
      </c>
      <c r="D10" s="541" t="s">
        <v>45</v>
      </c>
      <c r="E10" s="528" t="s">
        <v>43</v>
      </c>
      <c r="F10" s="530">
        <v>6.0000251325743292</v>
      </c>
      <c r="G10" s="530">
        <v>397.89</v>
      </c>
      <c r="H10" s="537">
        <v>2387.35</v>
      </c>
      <c r="I10" s="530">
        <v>6</v>
      </c>
      <c r="J10" s="530">
        <v>2387.35</v>
      </c>
      <c r="K10" s="530" t="s">
        <v>334</v>
      </c>
      <c r="L10" s="538">
        <v>4813</v>
      </c>
      <c r="M10" s="539">
        <v>225</v>
      </c>
      <c r="N10" s="539">
        <f t="shared" si="0"/>
        <v>281.25</v>
      </c>
      <c r="O10" s="540">
        <f t="shared" ref="O10:O74" si="1">ROUND(F10-I10,2)</f>
        <v>0</v>
      </c>
      <c r="P10" s="380">
        <f t="shared" ref="P10:P74" si="2">N10*O10</f>
        <v>0</v>
      </c>
    </row>
    <row r="11" spans="1:27">
      <c r="A11" s="532">
        <v>2</v>
      </c>
      <c r="B11" s="532"/>
      <c r="C11" s="532"/>
      <c r="D11" s="533" t="s">
        <v>46</v>
      </c>
      <c r="E11" s="532"/>
      <c r="F11" s="534"/>
      <c r="G11" s="534"/>
      <c r="H11" s="535">
        <v>9325.42</v>
      </c>
      <c r="I11" s="534">
        <v>0</v>
      </c>
      <c r="J11" s="534">
        <f>ROUND(J12+J13,2)</f>
        <v>1184.8499999999999</v>
      </c>
      <c r="K11" s="534"/>
      <c r="L11" s="534"/>
      <c r="M11" s="534"/>
      <c r="N11" s="534">
        <f t="shared" si="0"/>
        <v>0</v>
      </c>
      <c r="O11" s="534">
        <f t="shared" si="1"/>
        <v>0</v>
      </c>
      <c r="P11" s="373">
        <f>P12+P13</f>
        <v>10533.352499999999</v>
      </c>
    </row>
    <row r="12" spans="1:27" ht="26.4">
      <c r="A12" s="528" t="s">
        <v>47</v>
      </c>
      <c r="B12" s="528" t="s">
        <v>309</v>
      </c>
      <c r="C12" s="528">
        <v>97622</v>
      </c>
      <c r="D12" s="541" t="s">
        <v>48</v>
      </c>
      <c r="E12" s="528" t="s">
        <v>49</v>
      </c>
      <c r="F12" s="530">
        <v>21.998700334199775</v>
      </c>
      <c r="G12" s="530">
        <v>53.86</v>
      </c>
      <c r="H12" s="537">
        <v>1184.8499999999999</v>
      </c>
      <c r="I12" s="530">
        <v>22</v>
      </c>
      <c r="J12" s="530">
        <v>1184.8499999999999</v>
      </c>
      <c r="K12" s="530"/>
      <c r="L12" s="538"/>
      <c r="M12" s="539">
        <v>56.53</v>
      </c>
      <c r="N12" s="539">
        <f t="shared" si="0"/>
        <v>70.662499999999994</v>
      </c>
      <c r="O12" s="540">
        <f t="shared" si="1"/>
        <v>0</v>
      </c>
      <c r="P12" s="380">
        <f t="shared" si="2"/>
        <v>0</v>
      </c>
    </row>
    <row r="13" spans="1:27" ht="26.4">
      <c r="A13" s="528" t="s">
        <v>50</v>
      </c>
      <c r="B13" s="528" t="s">
        <v>304</v>
      </c>
      <c r="C13" s="528" t="s">
        <v>302</v>
      </c>
      <c r="D13" s="541" t="s">
        <v>51</v>
      </c>
      <c r="E13" s="528" t="s">
        <v>43</v>
      </c>
      <c r="F13" s="530">
        <v>386.9</v>
      </c>
      <c r="G13" s="530">
        <v>21.040501421555959</v>
      </c>
      <c r="H13" s="537">
        <v>8140.57</v>
      </c>
      <c r="I13" s="530">
        <v>0</v>
      </c>
      <c r="J13" s="530">
        <v>0</v>
      </c>
      <c r="K13" s="530"/>
      <c r="L13" s="538"/>
      <c r="M13" s="539">
        <v>21.78</v>
      </c>
      <c r="N13" s="539">
        <f>M13+(M13*$N$7)</f>
        <v>27.225000000000001</v>
      </c>
      <c r="O13" s="540">
        <f t="shared" si="1"/>
        <v>386.9</v>
      </c>
      <c r="P13" s="380">
        <f t="shared" si="2"/>
        <v>10533.352499999999</v>
      </c>
      <c r="R13" s="379"/>
    </row>
    <row r="14" spans="1:27">
      <c r="A14" s="532">
        <v>3</v>
      </c>
      <c r="B14" s="532"/>
      <c r="C14" s="532"/>
      <c r="D14" s="533" t="s">
        <v>52</v>
      </c>
      <c r="E14" s="532"/>
      <c r="F14" s="534"/>
      <c r="G14" s="534"/>
      <c r="H14" s="535">
        <v>5749.82</v>
      </c>
      <c r="I14" s="534">
        <v>0</v>
      </c>
      <c r="J14" s="534">
        <f>ROUND(J15+J24,2)</f>
        <v>5749.82</v>
      </c>
      <c r="K14" s="534"/>
      <c r="L14" s="534"/>
      <c r="M14" s="542"/>
      <c r="N14" s="534">
        <f t="shared" si="0"/>
        <v>0</v>
      </c>
      <c r="O14" s="534"/>
      <c r="P14" s="373">
        <f>P15+P24</f>
        <v>0</v>
      </c>
    </row>
    <row r="15" spans="1:27">
      <c r="A15" s="543" t="s">
        <v>53</v>
      </c>
      <c r="B15" s="543"/>
      <c r="C15" s="543"/>
      <c r="D15" s="544" t="s">
        <v>54</v>
      </c>
      <c r="E15" s="543"/>
      <c r="F15" s="545"/>
      <c r="G15" s="545"/>
      <c r="H15" s="546">
        <v>4804.76</v>
      </c>
      <c r="I15" s="545">
        <v>0</v>
      </c>
      <c r="J15" s="545">
        <f>ROUND(SUM(J16:J23),2)</f>
        <v>4804.76</v>
      </c>
      <c r="K15" s="545"/>
      <c r="L15" s="545"/>
      <c r="M15" s="547"/>
      <c r="N15" s="547"/>
      <c r="O15" s="547"/>
      <c r="P15" s="378">
        <f>SUM(P16:P23)</f>
        <v>0</v>
      </c>
    </row>
    <row r="16" spans="1:27" ht="26.4">
      <c r="A16" s="528" t="s">
        <v>55</v>
      </c>
      <c r="B16" s="528" t="s">
        <v>309</v>
      </c>
      <c r="C16" s="528">
        <v>93358</v>
      </c>
      <c r="D16" s="541" t="s">
        <v>56</v>
      </c>
      <c r="E16" s="528" t="s">
        <v>49</v>
      </c>
      <c r="F16" s="530">
        <v>3.3</v>
      </c>
      <c r="G16" s="530">
        <v>82.16</v>
      </c>
      <c r="H16" s="537">
        <v>271.12</v>
      </c>
      <c r="I16" s="530">
        <v>3.3</v>
      </c>
      <c r="J16" s="530">
        <v>271.12</v>
      </c>
      <c r="K16" s="530"/>
      <c r="L16" s="538"/>
      <c r="M16" s="539">
        <v>86.43</v>
      </c>
      <c r="N16" s="539">
        <f t="shared" si="0"/>
        <v>108.03750000000001</v>
      </c>
      <c r="O16" s="540">
        <f t="shared" si="1"/>
        <v>0</v>
      </c>
      <c r="P16" s="380">
        <f t="shared" si="2"/>
        <v>0</v>
      </c>
    </row>
    <row r="17" spans="1:17" ht="39.6">
      <c r="A17" s="528" t="s">
        <v>57</v>
      </c>
      <c r="B17" s="528" t="s">
        <v>309</v>
      </c>
      <c r="C17" s="528">
        <v>98228</v>
      </c>
      <c r="D17" s="541" t="s">
        <v>58</v>
      </c>
      <c r="E17" s="528" t="s">
        <v>59</v>
      </c>
      <c r="F17" s="530">
        <v>28.000366837857662</v>
      </c>
      <c r="G17" s="530">
        <v>54.52</v>
      </c>
      <c r="H17" s="537">
        <v>1526.58</v>
      </c>
      <c r="I17" s="530">
        <v>28</v>
      </c>
      <c r="J17" s="530">
        <v>1526.58</v>
      </c>
      <c r="K17" s="530" t="s">
        <v>309</v>
      </c>
      <c r="L17" s="538">
        <v>101173</v>
      </c>
      <c r="M17" s="539">
        <v>58.68</v>
      </c>
      <c r="N17" s="539">
        <f t="shared" si="0"/>
        <v>73.349999999999994</v>
      </c>
      <c r="O17" s="540">
        <f t="shared" si="1"/>
        <v>0</v>
      </c>
      <c r="P17" s="380">
        <f t="shared" si="2"/>
        <v>0</v>
      </c>
    </row>
    <row r="18" spans="1:17" ht="29.4" customHeight="1">
      <c r="A18" s="528" t="s">
        <v>60</v>
      </c>
      <c r="B18" s="528" t="s">
        <v>309</v>
      </c>
      <c r="C18" s="528">
        <v>96621</v>
      </c>
      <c r="D18" s="541" t="s">
        <v>61</v>
      </c>
      <c r="E18" s="528" t="s">
        <v>49</v>
      </c>
      <c r="F18" s="530">
        <v>0.4</v>
      </c>
      <c r="G18" s="530">
        <v>166.35</v>
      </c>
      <c r="H18" s="537">
        <v>66.540000000000006</v>
      </c>
      <c r="I18" s="530">
        <v>0.4</v>
      </c>
      <c r="J18" s="530">
        <v>66.540000000000006</v>
      </c>
      <c r="K18" s="530"/>
      <c r="L18" s="538"/>
      <c r="M18" s="539">
        <v>181</v>
      </c>
      <c r="N18" s="539">
        <f t="shared" si="0"/>
        <v>226.25</v>
      </c>
      <c r="O18" s="540">
        <f t="shared" si="1"/>
        <v>0</v>
      </c>
      <c r="P18" s="380">
        <f t="shared" si="2"/>
        <v>0</v>
      </c>
    </row>
    <row r="19" spans="1:17" ht="39.6">
      <c r="A19" s="528" t="s">
        <v>62</v>
      </c>
      <c r="B19" s="528" t="s">
        <v>309</v>
      </c>
      <c r="C19" s="528">
        <v>96533</v>
      </c>
      <c r="D19" s="541" t="s">
        <v>63</v>
      </c>
      <c r="E19" s="528" t="s">
        <v>43</v>
      </c>
      <c r="F19" s="530">
        <v>15.000404312668463</v>
      </c>
      <c r="G19" s="530">
        <v>74.2</v>
      </c>
      <c r="H19" s="537">
        <v>1113.03</v>
      </c>
      <c r="I19" s="530">
        <v>15</v>
      </c>
      <c r="J19" s="530">
        <v>1113.03</v>
      </c>
      <c r="K19" s="530"/>
      <c r="L19" s="538"/>
      <c r="M19" s="539">
        <v>105.55</v>
      </c>
      <c r="N19" s="539">
        <f t="shared" si="0"/>
        <v>131.9375</v>
      </c>
      <c r="O19" s="540">
        <f t="shared" si="1"/>
        <v>0</v>
      </c>
      <c r="P19" s="380">
        <f t="shared" si="2"/>
        <v>0</v>
      </c>
    </row>
    <row r="20" spans="1:17" ht="26.4">
      <c r="A20" s="528" t="s">
        <v>64</v>
      </c>
      <c r="B20" s="528" t="s">
        <v>309</v>
      </c>
      <c r="C20" s="528">
        <v>96546</v>
      </c>
      <c r="D20" s="541" t="s">
        <v>65</v>
      </c>
      <c r="E20" s="528" t="s">
        <v>66</v>
      </c>
      <c r="F20" s="530">
        <v>100</v>
      </c>
      <c r="G20" s="530">
        <v>8.5698000000000008</v>
      </c>
      <c r="H20" s="537">
        <v>856.98</v>
      </c>
      <c r="I20" s="530">
        <v>100</v>
      </c>
      <c r="J20" s="530">
        <v>856.98</v>
      </c>
      <c r="K20" s="530"/>
      <c r="L20" s="538"/>
      <c r="M20" s="539">
        <v>15.98</v>
      </c>
      <c r="N20" s="539">
        <f t="shared" si="0"/>
        <v>19.975000000000001</v>
      </c>
      <c r="O20" s="540">
        <f t="shared" si="1"/>
        <v>0</v>
      </c>
      <c r="P20" s="380">
        <f t="shared" si="2"/>
        <v>0</v>
      </c>
    </row>
    <row r="21" spans="1:17" ht="26.4">
      <c r="A21" s="528" t="s">
        <v>67</v>
      </c>
      <c r="B21" s="528" t="s">
        <v>309</v>
      </c>
      <c r="C21" s="528">
        <v>96543</v>
      </c>
      <c r="D21" s="541" t="s">
        <v>68</v>
      </c>
      <c r="E21" s="528" t="s">
        <v>66</v>
      </c>
      <c r="F21" s="530">
        <v>26</v>
      </c>
      <c r="G21" s="530">
        <v>13.549615384615386</v>
      </c>
      <c r="H21" s="537">
        <v>352.29</v>
      </c>
      <c r="I21" s="530">
        <v>26</v>
      </c>
      <c r="J21" s="530">
        <v>352.29</v>
      </c>
      <c r="K21" s="530"/>
      <c r="L21" s="538"/>
      <c r="M21" s="539">
        <v>20.37</v>
      </c>
      <c r="N21" s="539">
        <f t="shared" si="0"/>
        <v>25.462500000000002</v>
      </c>
      <c r="O21" s="540">
        <f t="shared" si="1"/>
        <v>0</v>
      </c>
      <c r="P21" s="380">
        <f t="shared" si="2"/>
        <v>0</v>
      </c>
    </row>
    <row r="22" spans="1:17" ht="39.6">
      <c r="A22" s="528" t="s">
        <v>69</v>
      </c>
      <c r="B22" s="528" t="s">
        <v>309</v>
      </c>
      <c r="C22" s="528">
        <v>96557</v>
      </c>
      <c r="D22" s="541" t="s">
        <v>70</v>
      </c>
      <c r="E22" s="528" t="s">
        <v>49</v>
      </c>
      <c r="F22" s="530">
        <v>1.5000262977962446</v>
      </c>
      <c r="G22" s="530">
        <v>380.26</v>
      </c>
      <c r="H22" s="537">
        <v>570.4</v>
      </c>
      <c r="I22" s="530">
        <v>1.5</v>
      </c>
      <c r="J22" s="530">
        <v>570.4</v>
      </c>
      <c r="K22" s="530"/>
      <c r="L22" s="538"/>
      <c r="M22" s="539">
        <v>426.76</v>
      </c>
      <c r="N22" s="539">
        <f t="shared" si="0"/>
        <v>533.45000000000005</v>
      </c>
      <c r="O22" s="540">
        <f t="shared" si="1"/>
        <v>0</v>
      </c>
      <c r="P22" s="380">
        <f t="shared" si="2"/>
        <v>0</v>
      </c>
    </row>
    <row r="23" spans="1:17" ht="26.4">
      <c r="A23" s="528" t="s">
        <v>71</v>
      </c>
      <c r="B23" s="528" t="s">
        <v>309</v>
      </c>
      <c r="C23" s="528">
        <v>93382</v>
      </c>
      <c r="D23" s="541" t="s">
        <v>72</v>
      </c>
      <c r="E23" s="528" t="s">
        <v>49</v>
      </c>
      <c r="F23" s="530">
        <v>1.5</v>
      </c>
      <c r="G23" s="530">
        <v>31.88</v>
      </c>
      <c r="H23" s="537">
        <v>47.82</v>
      </c>
      <c r="I23" s="530">
        <v>1.5</v>
      </c>
      <c r="J23" s="530">
        <v>47.82</v>
      </c>
      <c r="K23" s="530"/>
      <c r="L23" s="538"/>
      <c r="M23" s="539">
        <v>31.87</v>
      </c>
      <c r="N23" s="539">
        <f t="shared" si="0"/>
        <v>39.837499999999999</v>
      </c>
      <c r="O23" s="540">
        <f t="shared" si="1"/>
        <v>0</v>
      </c>
      <c r="P23" s="380">
        <f t="shared" si="2"/>
        <v>0</v>
      </c>
    </row>
    <row r="24" spans="1:17">
      <c r="A24" s="543" t="s">
        <v>73</v>
      </c>
      <c r="B24" s="543"/>
      <c r="C24" s="543"/>
      <c r="D24" s="544" t="s">
        <v>74</v>
      </c>
      <c r="E24" s="543"/>
      <c r="F24" s="545"/>
      <c r="G24" s="545"/>
      <c r="H24" s="546">
        <v>945.0619999999999</v>
      </c>
      <c r="I24" s="545">
        <v>0</v>
      </c>
      <c r="J24" s="545">
        <f>ROUND(J25+J26,2)</f>
        <v>945.06</v>
      </c>
      <c r="K24" s="545"/>
      <c r="L24" s="545"/>
      <c r="M24" s="547"/>
      <c r="N24" s="547"/>
      <c r="O24" s="547"/>
      <c r="P24" s="378">
        <f>SUM(P25:P26)</f>
        <v>0</v>
      </c>
    </row>
    <row r="25" spans="1:17" ht="39.6">
      <c r="A25" s="528" t="s">
        <v>75</v>
      </c>
      <c r="B25" s="528" t="s">
        <v>309</v>
      </c>
      <c r="C25" s="528">
        <v>95474</v>
      </c>
      <c r="D25" s="541" t="s">
        <v>76</v>
      </c>
      <c r="E25" s="528" t="s">
        <v>49</v>
      </c>
      <c r="F25" s="530">
        <v>0.9</v>
      </c>
      <c r="G25" s="530">
        <v>643.17999999999995</v>
      </c>
      <c r="H25" s="537">
        <v>578.86199999999997</v>
      </c>
      <c r="I25" s="530">
        <v>0.9</v>
      </c>
      <c r="J25" s="530">
        <v>578.86199999999997</v>
      </c>
      <c r="K25" s="530" t="s">
        <v>304</v>
      </c>
      <c r="L25" s="538" t="s">
        <v>335</v>
      </c>
      <c r="M25" s="539">
        <v>746.2</v>
      </c>
      <c r="N25" s="539">
        <f t="shared" si="0"/>
        <v>932.75</v>
      </c>
      <c r="O25" s="540">
        <f t="shared" si="1"/>
        <v>0</v>
      </c>
      <c r="P25" s="380">
        <f t="shared" si="2"/>
        <v>0</v>
      </c>
    </row>
    <row r="26" spans="1:17" ht="26.4">
      <c r="A26" s="528" t="s">
        <v>77</v>
      </c>
      <c r="B26" s="528" t="s">
        <v>309</v>
      </c>
      <c r="C26" s="528" t="s">
        <v>325</v>
      </c>
      <c r="D26" s="541" t="s">
        <v>78</v>
      </c>
      <c r="E26" s="528" t="s">
        <v>43</v>
      </c>
      <c r="F26" s="530">
        <v>32</v>
      </c>
      <c r="G26" s="530">
        <v>11.44375</v>
      </c>
      <c r="H26" s="537">
        <v>366.2</v>
      </c>
      <c r="I26" s="530">
        <v>32</v>
      </c>
      <c r="J26" s="530">
        <v>366.2</v>
      </c>
      <c r="K26" s="530"/>
      <c r="L26" s="538"/>
      <c r="M26" s="539"/>
      <c r="N26" s="539">
        <f t="shared" si="0"/>
        <v>0</v>
      </c>
      <c r="O26" s="540">
        <f t="shared" si="1"/>
        <v>0</v>
      </c>
      <c r="P26" s="380">
        <f t="shared" si="2"/>
        <v>0</v>
      </c>
    </row>
    <row r="27" spans="1:17">
      <c r="A27" s="532">
        <v>4</v>
      </c>
      <c r="B27" s="532"/>
      <c r="C27" s="532"/>
      <c r="D27" s="533" t="s">
        <v>79</v>
      </c>
      <c r="E27" s="532"/>
      <c r="F27" s="534"/>
      <c r="G27" s="534"/>
      <c r="H27" s="535">
        <v>6601.99</v>
      </c>
      <c r="I27" s="534">
        <v>0</v>
      </c>
      <c r="J27" s="534">
        <f>ROUND(J28,2)</f>
        <v>3138.41</v>
      </c>
      <c r="K27" s="534"/>
      <c r="L27" s="534"/>
      <c r="M27" s="542"/>
      <c r="N27" s="542"/>
      <c r="O27" s="542"/>
      <c r="P27" s="373">
        <f>P28</f>
        <v>5701.4124999999995</v>
      </c>
    </row>
    <row r="28" spans="1:17" ht="66">
      <c r="A28" s="528" t="s">
        <v>80</v>
      </c>
      <c r="B28" s="528" t="s">
        <v>309</v>
      </c>
      <c r="C28" s="528">
        <v>87481</v>
      </c>
      <c r="D28" s="536" t="s">
        <v>81</v>
      </c>
      <c r="E28" s="528" t="s">
        <v>43</v>
      </c>
      <c r="F28" s="530">
        <v>108</v>
      </c>
      <c r="G28" s="530">
        <v>61.129537037037039</v>
      </c>
      <c r="H28" s="537">
        <v>6601.99</v>
      </c>
      <c r="I28" s="530">
        <v>51.34</v>
      </c>
      <c r="J28" s="530">
        <v>3138.4104314814817</v>
      </c>
      <c r="K28" s="530"/>
      <c r="L28" s="538"/>
      <c r="M28" s="539">
        <v>80.5</v>
      </c>
      <c r="N28" s="539">
        <f t="shared" si="0"/>
        <v>100.625</v>
      </c>
      <c r="O28" s="548">
        <f t="shared" si="1"/>
        <v>56.66</v>
      </c>
      <c r="P28" s="380">
        <f t="shared" si="2"/>
        <v>5701.4124999999995</v>
      </c>
      <c r="Q28" t="s">
        <v>336</v>
      </c>
    </row>
    <row r="29" spans="1:17">
      <c r="A29" s="532">
        <v>5</v>
      </c>
      <c r="B29" s="532"/>
      <c r="C29" s="532"/>
      <c r="D29" s="533" t="s">
        <v>82</v>
      </c>
      <c r="E29" s="532"/>
      <c r="F29" s="534"/>
      <c r="G29" s="534"/>
      <c r="H29" s="535">
        <v>13363.421</v>
      </c>
      <c r="I29" s="534">
        <v>0</v>
      </c>
      <c r="J29" s="534">
        <f>ROUND(SUM(J30:J34),2)</f>
        <v>13363.42</v>
      </c>
      <c r="K29" s="534"/>
      <c r="L29" s="534"/>
      <c r="M29" s="542"/>
      <c r="N29" s="534">
        <f t="shared" si="0"/>
        <v>0</v>
      </c>
      <c r="O29" s="534">
        <f t="shared" si="1"/>
        <v>0</v>
      </c>
      <c r="P29" s="373">
        <f>SUM(P30:P34)</f>
        <v>0</v>
      </c>
    </row>
    <row r="30" spans="1:17" ht="26.4">
      <c r="A30" s="528" t="s">
        <v>83</v>
      </c>
      <c r="B30" s="528" t="s">
        <v>304</v>
      </c>
      <c r="C30" s="528" t="s">
        <v>327</v>
      </c>
      <c r="D30" s="541" t="s">
        <v>84</v>
      </c>
      <c r="E30" s="528" t="s">
        <v>43</v>
      </c>
      <c r="F30" s="530">
        <v>10</v>
      </c>
      <c r="G30" s="530">
        <v>335.32</v>
      </c>
      <c r="H30" s="537">
        <v>3353.2</v>
      </c>
      <c r="I30" s="530">
        <v>10</v>
      </c>
      <c r="J30" s="530">
        <v>3353.2</v>
      </c>
      <c r="K30" s="530"/>
      <c r="L30" s="538"/>
      <c r="M30" s="539">
        <v>411.67</v>
      </c>
      <c r="N30" s="539">
        <f t="shared" si="0"/>
        <v>514.58749999999998</v>
      </c>
      <c r="O30" s="540">
        <f t="shared" si="1"/>
        <v>0</v>
      </c>
      <c r="P30" s="380">
        <f t="shared" si="2"/>
        <v>0</v>
      </c>
    </row>
    <row r="31" spans="1:17" ht="39.6">
      <c r="A31" s="528" t="s">
        <v>85</v>
      </c>
      <c r="B31" s="528" t="s">
        <v>304</v>
      </c>
      <c r="C31" s="528" t="s">
        <v>328</v>
      </c>
      <c r="D31" s="541" t="s">
        <v>86</v>
      </c>
      <c r="E31" s="528" t="s">
        <v>43</v>
      </c>
      <c r="F31" s="530">
        <v>5.9999862456931838</v>
      </c>
      <c r="G31" s="530">
        <v>1454.09</v>
      </c>
      <c r="H31" s="537">
        <v>8724.52</v>
      </c>
      <c r="I31" s="530">
        <v>6</v>
      </c>
      <c r="J31" s="530">
        <v>8724.52</v>
      </c>
      <c r="K31" s="530"/>
      <c r="L31" s="538"/>
      <c r="M31" s="539">
        <v>1859.22</v>
      </c>
      <c r="N31" s="539">
        <f t="shared" si="0"/>
        <v>2324.0250000000001</v>
      </c>
      <c r="O31" s="540">
        <f t="shared" si="1"/>
        <v>0</v>
      </c>
      <c r="P31" s="380">
        <f t="shared" si="2"/>
        <v>0</v>
      </c>
    </row>
    <row r="32" spans="1:17">
      <c r="A32" s="528" t="s">
        <v>87</v>
      </c>
      <c r="B32" s="528" t="s">
        <v>304</v>
      </c>
      <c r="C32" s="528" t="s">
        <v>329</v>
      </c>
      <c r="D32" s="541" t="s">
        <v>88</v>
      </c>
      <c r="E32" s="528" t="s">
        <v>43</v>
      </c>
      <c r="F32" s="530">
        <v>15.998805732484076</v>
      </c>
      <c r="G32" s="530">
        <v>25.12</v>
      </c>
      <c r="H32" s="537">
        <v>401.89</v>
      </c>
      <c r="I32" s="530">
        <v>16</v>
      </c>
      <c r="J32" s="530">
        <v>401.89</v>
      </c>
      <c r="K32" s="530"/>
      <c r="L32" s="538"/>
      <c r="M32" s="539">
        <v>25.98</v>
      </c>
      <c r="N32" s="539">
        <f t="shared" si="0"/>
        <v>32.475000000000001</v>
      </c>
      <c r="O32" s="540">
        <f t="shared" si="1"/>
        <v>0</v>
      </c>
      <c r="P32" s="380">
        <f t="shared" si="2"/>
        <v>0</v>
      </c>
    </row>
    <row r="33" spans="1:16" ht="26.4">
      <c r="A33" s="528" t="s">
        <v>89</v>
      </c>
      <c r="B33" s="528" t="s">
        <v>309</v>
      </c>
      <c r="C33" s="528">
        <v>97644</v>
      </c>
      <c r="D33" s="541" t="s">
        <v>90</v>
      </c>
      <c r="E33" s="528" t="s">
        <v>43</v>
      </c>
      <c r="F33" s="530">
        <v>2.1</v>
      </c>
      <c r="G33" s="530">
        <v>8.61</v>
      </c>
      <c r="H33" s="537">
        <v>18.081</v>
      </c>
      <c r="I33" s="530">
        <v>2.1</v>
      </c>
      <c r="J33" s="530">
        <v>18.081</v>
      </c>
      <c r="K33" s="530"/>
      <c r="L33" s="538"/>
      <c r="M33" s="539">
        <v>8.99</v>
      </c>
      <c r="N33" s="539">
        <f t="shared" si="0"/>
        <v>11.237500000000001</v>
      </c>
      <c r="O33" s="540">
        <f t="shared" si="1"/>
        <v>0</v>
      </c>
      <c r="P33" s="380">
        <f t="shared" si="2"/>
        <v>0</v>
      </c>
    </row>
    <row r="34" spans="1:16" ht="66">
      <c r="A34" s="528" t="s">
        <v>91</v>
      </c>
      <c r="B34" s="528" t="s">
        <v>309</v>
      </c>
      <c r="C34" s="528">
        <v>90844</v>
      </c>
      <c r="D34" s="541" t="s">
        <v>92</v>
      </c>
      <c r="E34" s="528" t="s">
        <v>93</v>
      </c>
      <c r="F34" s="530">
        <v>1</v>
      </c>
      <c r="G34" s="530">
        <v>865.73</v>
      </c>
      <c r="H34" s="537">
        <v>865.73</v>
      </c>
      <c r="I34" s="530">
        <v>1</v>
      </c>
      <c r="J34" s="530">
        <v>865.73</v>
      </c>
      <c r="K34" s="530"/>
      <c r="L34" s="538"/>
      <c r="M34" s="539">
        <v>985.81</v>
      </c>
      <c r="N34" s="539">
        <f t="shared" si="0"/>
        <v>1232.2624999999998</v>
      </c>
      <c r="O34" s="540">
        <f t="shared" si="1"/>
        <v>0</v>
      </c>
      <c r="P34" s="380">
        <f t="shared" si="2"/>
        <v>0</v>
      </c>
    </row>
    <row r="35" spans="1:16">
      <c r="A35" s="532">
        <v>6</v>
      </c>
      <c r="B35" s="532"/>
      <c r="C35" s="532"/>
      <c r="D35" s="533" t="s">
        <v>94</v>
      </c>
      <c r="E35" s="532"/>
      <c r="F35" s="534"/>
      <c r="G35" s="534"/>
      <c r="H35" s="535">
        <v>1464.84</v>
      </c>
      <c r="I35" s="534">
        <v>0</v>
      </c>
      <c r="J35" s="534">
        <f>ROUND(SUM(J36:J38),2)</f>
        <v>1464.84</v>
      </c>
      <c r="K35" s="534"/>
      <c r="L35" s="534"/>
      <c r="M35" s="542"/>
      <c r="N35" s="534">
        <f t="shared" si="0"/>
        <v>0</v>
      </c>
      <c r="O35" s="534">
        <f t="shared" si="1"/>
        <v>0</v>
      </c>
      <c r="P35" s="373">
        <f>SUM(P36:P38)</f>
        <v>0</v>
      </c>
    </row>
    <row r="36" spans="1:16" ht="18" customHeight="1">
      <c r="A36" s="528" t="s">
        <v>95</v>
      </c>
      <c r="B36" s="528" t="s">
        <v>304</v>
      </c>
      <c r="C36" s="528" t="s">
        <v>330</v>
      </c>
      <c r="D36" s="541" t="s">
        <v>96</v>
      </c>
      <c r="E36" s="528" t="s">
        <v>43</v>
      </c>
      <c r="F36" s="530">
        <v>9.3027888446215155</v>
      </c>
      <c r="G36" s="530">
        <v>10.039999999999999</v>
      </c>
      <c r="H36" s="537">
        <v>93.4</v>
      </c>
      <c r="I36" s="530">
        <v>9.3000000000000007</v>
      </c>
      <c r="J36" s="530">
        <v>93.4</v>
      </c>
      <c r="K36" s="530"/>
      <c r="L36" s="538"/>
      <c r="M36" s="539">
        <v>10.39</v>
      </c>
      <c r="N36" s="539">
        <f t="shared" si="0"/>
        <v>12.987500000000001</v>
      </c>
      <c r="O36" s="540">
        <f t="shared" si="1"/>
        <v>0</v>
      </c>
      <c r="P36" s="380">
        <f t="shared" si="2"/>
        <v>0</v>
      </c>
    </row>
    <row r="37" spans="1:16" ht="31.2" customHeight="1">
      <c r="A37" s="528" t="s">
        <v>97</v>
      </c>
      <c r="B37" s="528" t="s">
        <v>309</v>
      </c>
      <c r="C37" s="528">
        <v>96112</v>
      </c>
      <c r="D37" s="541" t="s">
        <v>98</v>
      </c>
      <c r="E37" s="528" t="s">
        <v>43</v>
      </c>
      <c r="F37" s="530">
        <v>9.2996483435128621</v>
      </c>
      <c r="G37" s="530">
        <v>108.06</v>
      </c>
      <c r="H37" s="537">
        <v>1004.9199999999998</v>
      </c>
      <c r="I37" s="530">
        <v>9.3000000000000007</v>
      </c>
      <c r="J37" s="530">
        <v>1004.9199999999998</v>
      </c>
      <c r="K37" s="530"/>
      <c r="L37" s="538"/>
      <c r="M37" s="539">
        <v>131.24</v>
      </c>
      <c r="N37" s="539">
        <f t="shared" si="0"/>
        <v>164.05</v>
      </c>
      <c r="O37" s="540">
        <f t="shared" si="1"/>
        <v>0</v>
      </c>
      <c r="P37" s="380">
        <f t="shared" si="2"/>
        <v>0</v>
      </c>
    </row>
    <row r="38" spans="1:16" ht="26.4">
      <c r="A38" s="528" t="s">
        <v>99</v>
      </c>
      <c r="B38" s="528" t="s">
        <v>309</v>
      </c>
      <c r="C38" s="528">
        <v>96122</v>
      </c>
      <c r="D38" s="541" t="s">
        <v>100</v>
      </c>
      <c r="E38" s="528" t="s">
        <v>59</v>
      </c>
      <c r="F38" s="530">
        <v>12.399188092016239</v>
      </c>
      <c r="G38" s="530">
        <v>29.56</v>
      </c>
      <c r="H38" s="537">
        <v>366.52</v>
      </c>
      <c r="I38" s="530">
        <v>12.4</v>
      </c>
      <c r="J38" s="530">
        <v>366.52</v>
      </c>
      <c r="K38" s="530"/>
      <c r="L38" s="538"/>
      <c r="M38" s="539">
        <v>39.71</v>
      </c>
      <c r="N38" s="539">
        <f t="shared" si="0"/>
        <v>49.637500000000003</v>
      </c>
      <c r="O38" s="540">
        <f t="shared" si="1"/>
        <v>0</v>
      </c>
      <c r="P38" s="380">
        <f t="shared" si="2"/>
        <v>0</v>
      </c>
    </row>
    <row r="39" spans="1:16" ht="19.2" customHeight="1">
      <c r="A39" s="532">
        <v>7</v>
      </c>
      <c r="B39" s="532"/>
      <c r="C39" s="532"/>
      <c r="D39" s="533" t="s">
        <v>101</v>
      </c>
      <c r="E39" s="532"/>
      <c r="F39" s="534"/>
      <c r="G39" s="534"/>
      <c r="H39" s="535">
        <v>5837.28</v>
      </c>
      <c r="I39" s="534">
        <v>0</v>
      </c>
      <c r="J39" s="534">
        <f>ROUND(J40,2)</f>
        <v>1864.14</v>
      </c>
      <c r="K39" s="534"/>
      <c r="L39" s="534"/>
      <c r="M39" s="542"/>
      <c r="N39" s="534">
        <f t="shared" si="0"/>
        <v>0</v>
      </c>
      <c r="O39" s="534">
        <f t="shared" si="1"/>
        <v>0</v>
      </c>
      <c r="P39" s="373">
        <f>P40</f>
        <v>2682.8625000000002</v>
      </c>
    </row>
    <row r="40" spans="1:16" ht="18.600000000000001" customHeight="1">
      <c r="A40" s="543" t="s">
        <v>102</v>
      </c>
      <c r="B40" s="543"/>
      <c r="C40" s="543"/>
      <c r="D40" s="544" t="s">
        <v>103</v>
      </c>
      <c r="E40" s="543"/>
      <c r="F40" s="545"/>
      <c r="G40" s="545"/>
      <c r="H40" s="546">
        <v>5837.28</v>
      </c>
      <c r="I40" s="545">
        <v>0</v>
      </c>
      <c r="J40" s="545">
        <f>ROUND(SUM(J41:J47),2)</f>
        <v>1864.14</v>
      </c>
      <c r="K40" s="545"/>
      <c r="L40" s="545"/>
      <c r="M40" s="547"/>
      <c r="N40" s="547"/>
      <c r="O40" s="547"/>
      <c r="P40" s="378">
        <f>SUM(P41:P47)</f>
        <v>2682.8625000000002</v>
      </c>
    </row>
    <row r="41" spans="1:16" ht="26.4">
      <c r="A41" s="528" t="s">
        <v>104</v>
      </c>
      <c r="B41" s="528" t="s">
        <v>304</v>
      </c>
      <c r="C41" s="528" t="s">
        <v>331</v>
      </c>
      <c r="D41" s="541" t="s">
        <v>105</v>
      </c>
      <c r="E41" s="528" t="s">
        <v>93</v>
      </c>
      <c r="F41" s="530">
        <v>1</v>
      </c>
      <c r="G41" s="530">
        <v>623.73</v>
      </c>
      <c r="H41" s="537">
        <v>623.73</v>
      </c>
      <c r="I41" s="530">
        <v>1</v>
      </c>
      <c r="J41" s="530">
        <v>623.73</v>
      </c>
      <c r="K41" s="530"/>
      <c r="L41" s="538"/>
      <c r="M41" s="539">
        <v>785.65</v>
      </c>
      <c r="N41" s="539">
        <f t="shared" si="0"/>
        <v>982.0625</v>
      </c>
      <c r="O41" s="540">
        <f t="shared" si="1"/>
        <v>0</v>
      </c>
      <c r="P41" s="380">
        <f t="shared" si="2"/>
        <v>0</v>
      </c>
    </row>
    <row r="42" spans="1:16" ht="43.2" customHeight="1">
      <c r="A42" s="528" t="s">
        <v>106</v>
      </c>
      <c r="B42" s="528" t="s">
        <v>304</v>
      </c>
      <c r="C42" s="528" t="s">
        <v>332</v>
      </c>
      <c r="D42" s="541" t="s">
        <v>107</v>
      </c>
      <c r="E42" s="528" t="s">
        <v>93</v>
      </c>
      <c r="F42" s="530">
        <v>2</v>
      </c>
      <c r="G42" s="530">
        <v>139.47999999999999</v>
      </c>
      <c r="H42" s="537">
        <v>278.95999999999998</v>
      </c>
      <c r="I42" s="530">
        <v>2</v>
      </c>
      <c r="J42" s="530">
        <v>278.95999999999998</v>
      </c>
      <c r="K42" s="530"/>
      <c r="L42" s="538"/>
      <c r="M42" s="539">
        <v>168.24</v>
      </c>
      <c r="N42" s="539">
        <f t="shared" si="0"/>
        <v>210.3</v>
      </c>
      <c r="O42" s="540">
        <f t="shared" si="1"/>
        <v>0</v>
      </c>
      <c r="P42" s="380">
        <f t="shared" si="2"/>
        <v>0</v>
      </c>
    </row>
    <row r="43" spans="1:16">
      <c r="A43" s="528"/>
      <c r="B43" s="528"/>
      <c r="C43" s="528"/>
      <c r="D43" s="541"/>
      <c r="E43" s="528"/>
      <c r="F43" s="530"/>
      <c r="G43" s="530"/>
      <c r="H43" s="537"/>
      <c r="I43" s="530"/>
      <c r="J43" s="530"/>
      <c r="K43" s="530"/>
      <c r="L43" s="538"/>
      <c r="M43" s="539"/>
      <c r="N43" s="539"/>
      <c r="O43" s="540"/>
      <c r="P43" s="381"/>
    </row>
    <row r="44" spans="1:16">
      <c r="A44" s="528" t="s">
        <v>108</v>
      </c>
      <c r="B44" s="528" t="s">
        <v>304</v>
      </c>
      <c r="C44" s="528" t="s">
        <v>305</v>
      </c>
      <c r="D44" s="541" t="s">
        <v>109</v>
      </c>
      <c r="E44" s="528" t="s">
        <v>93</v>
      </c>
      <c r="F44" s="530">
        <v>1</v>
      </c>
      <c r="G44" s="530">
        <v>42.55</v>
      </c>
      <c r="H44" s="537">
        <v>42.55</v>
      </c>
      <c r="I44" s="530">
        <v>0</v>
      </c>
      <c r="J44" s="530">
        <v>0</v>
      </c>
      <c r="K44" s="530"/>
      <c r="L44" s="538"/>
      <c r="M44" s="539">
        <v>50.59</v>
      </c>
      <c r="N44" s="539">
        <f t="shared" si="0"/>
        <v>63.237500000000004</v>
      </c>
      <c r="O44" s="540">
        <f t="shared" si="1"/>
        <v>1</v>
      </c>
      <c r="P44" s="380">
        <f t="shared" si="2"/>
        <v>63.237500000000004</v>
      </c>
    </row>
    <row r="45" spans="1:16" ht="26.4">
      <c r="A45" s="528" t="s">
        <v>110</v>
      </c>
      <c r="B45" s="528" t="s">
        <v>304</v>
      </c>
      <c r="C45" s="528" t="s">
        <v>333</v>
      </c>
      <c r="D45" s="541" t="s">
        <v>111</v>
      </c>
      <c r="E45" s="528" t="s">
        <v>93</v>
      </c>
      <c r="F45" s="530">
        <v>1</v>
      </c>
      <c r="G45" s="530">
        <v>937.89</v>
      </c>
      <c r="H45" s="537">
        <v>937.89</v>
      </c>
      <c r="I45" s="530">
        <v>1</v>
      </c>
      <c r="J45" s="530">
        <v>937.89</v>
      </c>
      <c r="K45" s="530"/>
      <c r="L45" s="538"/>
      <c r="M45" s="539">
        <v>1135.04</v>
      </c>
      <c r="N45" s="539">
        <f t="shared" si="0"/>
        <v>1418.8</v>
      </c>
      <c r="O45" s="540">
        <f t="shared" si="1"/>
        <v>0</v>
      </c>
      <c r="P45" s="380">
        <f t="shared" si="2"/>
        <v>0</v>
      </c>
    </row>
    <row r="46" spans="1:16" ht="26.4">
      <c r="A46" s="528" t="s">
        <v>112</v>
      </c>
      <c r="B46" s="528" t="s">
        <v>309</v>
      </c>
      <c r="C46" s="528">
        <v>97663</v>
      </c>
      <c r="D46" s="541" t="s">
        <v>113</v>
      </c>
      <c r="E46" s="528" t="s">
        <v>93</v>
      </c>
      <c r="F46" s="530">
        <v>1.9991511035653653</v>
      </c>
      <c r="G46" s="530">
        <v>11.78</v>
      </c>
      <c r="H46" s="537">
        <v>23.55</v>
      </c>
      <c r="I46" s="530">
        <v>2</v>
      </c>
      <c r="J46" s="530">
        <v>23.560000000000002</v>
      </c>
      <c r="K46" s="530"/>
      <c r="L46" s="538"/>
      <c r="M46" s="539">
        <v>12.03</v>
      </c>
      <c r="N46" s="539">
        <f t="shared" si="0"/>
        <v>15.0375</v>
      </c>
      <c r="O46" s="540">
        <f t="shared" si="1"/>
        <v>0</v>
      </c>
      <c r="P46" s="380">
        <f t="shared" si="2"/>
        <v>0</v>
      </c>
    </row>
    <row r="47" spans="1:16" ht="39.6">
      <c r="A47" s="528" t="s">
        <v>114</v>
      </c>
      <c r="B47" s="528" t="s">
        <v>304</v>
      </c>
      <c r="C47" s="528" t="s">
        <v>306</v>
      </c>
      <c r="D47" s="541" t="s">
        <v>307</v>
      </c>
      <c r="E47" s="528" t="s">
        <v>93</v>
      </c>
      <c r="F47" s="530">
        <v>2.0000050883075779</v>
      </c>
      <c r="G47" s="530">
        <v>1965.29</v>
      </c>
      <c r="H47" s="537">
        <f>3930.59+0.01</f>
        <v>3930.6000000000004</v>
      </c>
      <c r="I47" s="530">
        <v>0</v>
      </c>
      <c r="J47" s="530">
        <v>0</v>
      </c>
      <c r="K47" s="530"/>
      <c r="L47" s="538"/>
      <c r="M47" s="539">
        <v>1047.8499999999999</v>
      </c>
      <c r="N47" s="539">
        <f t="shared" si="0"/>
        <v>1309.8125</v>
      </c>
      <c r="O47" s="540">
        <f t="shared" si="1"/>
        <v>2</v>
      </c>
      <c r="P47" s="380">
        <f t="shared" si="2"/>
        <v>2619.625</v>
      </c>
    </row>
    <row r="48" spans="1:16">
      <c r="A48" s="532">
        <v>8</v>
      </c>
      <c r="B48" s="532"/>
      <c r="C48" s="532"/>
      <c r="D48" s="533" t="s">
        <v>116</v>
      </c>
      <c r="E48" s="532"/>
      <c r="F48" s="534"/>
      <c r="G48" s="534"/>
      <c r="H48" s="535">
        <v>11285.48</v>
      </c>
      <c r="I48" s="534">
        <v>0</v>
      </c>
      <c r="J48" s="534">
        <f>ROUND(J49+J52,2)</f>
        <v>5504.38</v>
      </c>
      <c r="K48" s="534"/>
      <c r="L48" s="534"/>
      <c r="M48" s="542"/>
      <c r="N48" s="534">
        <f t="shared" si="0"/>
        <v>0</v>
      </c>
      <c r="O48" s="534">
        <f t="shared" si="1"/>
        <v>0</v>
      </c>
      <c r="P48" s="373">
        <f>P49+P52</f>
        <v>7790.4384999999993</v>
      </c>
    </row>
    <row r="49" spans="1:17">
      <c r="A49" s="543" t="s">
        <v>117</v>
      </c>
      <c r="B49" s="543"/>
      <c r="C49" s="543"/>
      <c r="D49" s="544" t="s">
        <v>118</v>
      </c>
      <c r="E49" s="543"/>
      <c r="F49" s="545"/>
      <c r="G49" s="545"/>
      <c r="H49" s="546">
        <v>7261.2800000000007</v>
      </c>
      <c r="I49" s="545">
        <v>0</v>
      </c>
      <c r="J49" s="545">
        <f>ROUND(J50+J51,2)</f>
        <v>1873.4</v>
      </c>
      <c r="K49" s="545"/>
      <c r="L49" s="545"/>
      <c r="M49" s="547"/>
      <c r="N49" s="547"/>
      <c r="O49" s="547"/>
      <c r="P49" s="378">
        <f>P50+P51</f>
        <v>7268.5634999999993</v>
      </c>
    </row>
    <row r="50" spans="1:17" ht="39.6">
      <c r="A50" s="528" t="s">
        <v>119</v>
      </c>
      <c r="B50" s="528" t="s">
        <v>309</v>
      </c>
      <c r="C50" s="528">
        <v>87878</v>
      </c>
      <c r="D50" s="541" t="s">
        <v>120</v>
      </c>
      <c r="E50" s="528" t="s">
        <v>43</v>
      </c>
      <c r="F50" s="530">
        <v>199</v>
      </c>
      <c r="G50" s="530">
        <v>3.8387437185929647</v>
      </c>
      <c r="H50" s="537">
        <v>763.91</v>
      </c>
      <c r="I50" s="530">
        <v>51.34</v>
      </c>
      <c r="J50" s="530">
        <v>197.1511025125628</v>
      </c>
      <c r="K50" s="530"/>
      <c r="L50" s="538"/>
      <c r="M50" s="539">
        <v>4.22</v>
      </c>
      <c r="N50" s="539">
        <f t="shared" si="0"/>
        <v>5.2749999999999995</v>
      </c>
      <c r="O50" s="540">
        <f t="shared" si="1"/>
        <v>147.66</v>
      </c>
      <c r="P50" s="380">
        <f t="shared" si="2"/>
        <v>778.90649999999994</v>
      </c>
    </row>
    <row r="51" spans="1:17" ht="59.4" customHeight="1">
      <c r="A51" s="528" t="s">
        <v>121</v>
      </c>
      <c r="B51" s="528" t="s">
        <v>309</v>
      </c>
      <c r="C51" s="528">
        <v>87530</v>
      </c>
      <c r="D51" s="541" t="s">
        <v>122</v>
      </c>
      <c r="E51" s="528" t="s">
        <v>43</v>
      </c>
      <c r="F51" s="530">
        <v>199</v>
      </c>
      <c r="G51" s="530">
        <v>32.650100502512565</v>
      </c>
      <c r="H51" s="537">
        <v>6497.3700000000008</v>
      </c>
      <c r="I51" s="530">
        <v>51.34</v>
      </c>
      <c r="J51" s="530">
        <v>1676.2461597989952</v>
      </c>
      <c r="K51" s="530"/>
      <c r="L51" s="538"/>
      <c r="M51" s="539">
        <v>35.159999999999997</v>
      </c>
      <c r="N51" s="539">
        <f t="shared" si="0"/>
        <v>43.949999999999996</v>
      </c>
      <c r="O51" s="540">
        <f t="shared" si="1"/>
        <v>147.66</v>
      </c>
      <c r="P51" s="380">
        <f t="shared" si="2"/>
        <v>6489.6569999999992</v>
      </c>
    </row>
    <row r="52" spans="1:17">
      <c r="A52" s="543" t="s">
        <v>123</v>
      </c>
      <c r="B52" s="543"/>
      <c r="C52" s="543"/>
      <c r="D52" s="544" t="s">
        <v>124</v>
      </c>
      <c r="E52" s="543"/>
      <c r="F52" s="545"/>
      <c r="G52" s="545"/>
      <c r="H52" s="546">
        <v>4024.2</v>
      </c>
      <c r="I52" s="545">
        <v>0</v>
      </c>
      <c r="J52" s="545">
        <f>ROUND(SUM(J53:J58),2)</f>
        <v>3630.98</v>
      </c>
      <c r="K52" s="545"/>
      <c r="L52" s="545"/>
      <c r="M52" s="547"/>
      <c r="N52" s="547"/>
      <c r="O52" s="547"/>
      <c r="P52" s="378">
        <f>SUM(P53:P58)</f>
        <v>521.875</v>
      </c>
    </row>
    <row r="53" spans="1:17" ht="39.6">
      <c r="A53" s="528" t="s">
        <v>125</v>
      </c>
      <c r="B53" s="528" t="s">
        <v>309</v>
      </c>
      <c r="C53" s="528">
        <v>87633</v>
      </c>
      <c r="D53" s="541" t="s">
        <v>126</v>
      </c>
      <c r="E53" s="528" t="s">
        <v>43</v>
      </c>
      <c r="F53" s="530">
        <v>27.000975881778892</v>
      </c>
      <c r="G53" s="530">
        <v>71.73</v>
      </c>
      <c r="H53" s="537">
        <v>1936.78</v>
      </c>
      <c r="I53" s="530">
        <v>27</v>
      </c>
      <c r="J53" s="530">
        <v>1936.78</v>
      </c>
      <c r="K53" s="530"/>
      <c r="L53" s="538"/>
      <c r="M53" s="539">
        <v>84.38</v>
      </c>
      <c r="N53" s="539">
        <f t="shared" si="0"/>
        <v>105.47499999999999</v>
      </c>
      <c r="O53" s="540">
        <f t="shared" si="1"/>
        <v>0</v>
      </c>
      <c r="P53" s="380">
        <f t="shared" si="2"/>
        <v>0</v>
      </c>
    </row>
    <row r="54" spans="1:17" ht="28.8" customHeight="1">
      <c r="A54" s="528" t="s">
        <v>127</v>
      </c>
      <c r="B54" s="528" t="s">
        <v>309</v>
      </c>
      <c r="C54" s="528">
        <v>97631</v>
      </c>
      <c r="D54" s="541" t="s">
        <v>128</v>
      </c>
      <c r="E54" s="528" t="s">
        <v>43</v>
      </c>
      <c r="F54" s="530">
        <v>27</v>
      </c>
      <c r="G54" s="530">
        <v>3.1022222222222222</v>
      </c>
      <c r="H54" s="537">
        <v>83.76</v>
      </c>
      <c r="I54" s="530">
        <v>27</v>
      </c>
      <c r="J54" s="530">
        <v>83.76</v>
      </c>
      <c r="K54" s="530"/>
      <c r="L54" s="538"/>
      <c r="M54" s="539">
        <v>3.25</v>
      </c>
      <c r="N54" s="539">
        <f t="shared" si="0"/>
        <v>4.0625</v>
      </c>
      <c r="O54" s="540">
        <f t="shared" si="1"/>
        <v>0</v>
      </c>
      <c r="P54" s="380">
        <f t="shared" si="2"/>
        <v>0</v>
      </c>
    </row>
    <row r="55" spans="1:17" ht="30" customHeight="1">
      <c r="A55" s="528" t="s">
        <v>129</v>
      </c>
      <c r="B55" s="528" t="s">
        <v>309</v>
      </c>
      <c r="C55" s="528">
        <v>97633</v>
      </c>
      <c r="D55" s="541" t="s">
        <v>130</v>
      </c>
      <c r="E55" s="528" t="s">
        <v>43</v>
      </c>
      <c r="F55" s="530">
        <v>27</v>
      </c>
      <c r="G55" s="530">
        <v>21.237777777777779</v>
      </c>
      <c r="H55" s="537">
        <v>573.42000000000007</v>
      </c>
      <c r="I55" s="530">
        <v>27</v>
      </c>
      <c r="J55" s="530">
        <v>573.42000000000007</v>
      </c>
      <c r="K55" s="530"/>
      <c r="L55" s="538"/>
      <c r="M55" s="539">
        <v>22.21</v>
      </c>
      <c r="N55" s="539">
        <f t="shared" si="0"/>
        <v>27.762500000000003</v>
      </c>
      <c r="O55" s="540">
        <f t="shared" si="1"/>
        <v>0</v>
      </c>
      <c r="P55" s="380">
        <f t="shared" si="2"/>
        <v>0</v>
      </c>
    </row>
    <row r="56" spans="1:17" ht="42.6" customHeight="1">
      <c r="A56" s="528" t="s">
        <v>131</v>
      </c>
      <c r="B56" s="528" t="s">
        <v>309</v>
      </c>
      <c r="C56" s="528">
        <v>96467</v>
      </c>
      <c r="D56" s="541" t="s">
        <v>132</v>
      </c>
      <c r="E56" s="528" t="s">
        <v>59</v>
      </c>
      <c r="F56" s="530">
        <v>50</v>
      </c>
      <c r="G56" s="530">
        <v>5.4366000000000003</v>
      </c>
      <c r="H56" s="537">
        <v>271.83000000000004</v>
      </c>
      <c r="I56" s="530">
        <v>0</v>
      </c>
      <c r="J56" s="530">
        <v>0</v>
      </c>
      <c r="K56" s="530"/>
      <c r="L56" s="538"/>
      <c r="M56" s="539">
        <v>5.81</v>
      </c>
      <c r="N56" s="539">
        <f t="shared" si="0"/>
        <v>7.2624999999999993</v>
      </c>
      <c r="O56" s="540">
        <f t="shared" si="1"/>
        <v>50</v>
      </c>
      <c r="P56" s="380">
        <f t="shared" si="2"/>
        <v>363.12499999999994</v>
      </c>
    </row>
    <row r="57" spans="1:17" ht="29.4" customHeight="1">
      <c r="A57" s="528" t="s">
        <v>133</v>
      </c>
      <c r="B57" s="528" t="s">
        <v>309</v>
      </c>
      <c r="C57" s="528">
        <v>97632</v>
      </c>
      <c r="D57" s="541" t="s">
        <v>134</v>
      </c>
      <c r="E57" s="528" t="s">
        <v>59</v>
      </c>
      <c r="F57" s="530">
        <v>50</v>
      </c>
      <c r="G57" s="530">
        <v>2.4278</v>
      </c>
      <c r="H57" s="537">
        <v>121.39</v>
      </c>
      <c r="I57" s="530">
        <v>0</v>
      </c>
      <c r="J57" s="530">
        <v>0</v>
      </c>
      <c r="K57" s="530"/>
      <c r="L57" s="538"/>
      <c r="M57" s="539">
        <v>2.54</v>
      </c>
      <c r="N57" s="539">
        <f t="shared" si="0"/>
        <v>3.1749999999999998</v>
      </c>
      <c r="O57" s="540">
        <f t="shared" si="1"/>
        <v>50</v>
      </c>
      <c r="P57" s="380">
        <f t="shared" si="2"/>
        <v>158.75</v>
      </c>
    </row>
    <row r="58" spans="1:17" ht="43.8" customHeight="1">
      <c r="A58" s="528" t="s">
        <v>135</v>
      </c>
      <c r="B58" s="528" t="s">
        <v>309</v>
      </c>
      <c r="C58" s="528">
        <v>87248</v>
      </c>
      <c r="D58" s="541" t="s">
        <v>136</v>
      </c>
      <c r="E58" s="528" t="s">
        <v>43</v>
      </c>
      <c r="F58" s="530">
        <v>26.998698255662589</v>
      </c>
      <c r="G58" s="530">
        <v>38.409999999999997</v>
      </c>
      <c r="H58" s="537">
        <v>1037.02</v>
      </c>
      <c r="I58" s="530">
        <v>27</v>
      </c>
      <c r="J58" s="530">
        <v>1037.02</v>
      </c>
      <c r="K58" s="530"/>
      <c r="L58" s="538"/>
      <c r="M58" s="539">
        <v>41.2</v>
      </c>
      <c r="N58" s="539">
        <f t="shared" si="0"/>
        <v>51.5</v>
      </c>
      <c r="O58" s="540">
        <f t="shared" si="1"/>
        <v>0</v>
      </c>
      <c r="P58" s="380">
        <f t="shared" si="2"/>
        <v>0</v>
      </c>
    </row>
    <row r="59" spans="1:17" ht="18.600000000000001" customHeight="1">
      <c r="A59" s="532">
        <v>9</v>
      </c>
      <c r="B59" s="532"/>
      <c r="C59" s="532"/>
      <c r="D59" s="533" t="s">
        <v>137</v>
      </c>
      <c r="E59" s="532"/>
      <c r="F59" s="534"/>
      <c r="G59" s="534"/>
      <c r="H59" s="535">
        <v>20723.019999999997</v>
      </c>
      <c r="I59" s="534">
        <v>0</v>
      </c>
      <c r="J59" s="534">
        <f>ROUND(SUM(J60:J63),2)</f>
        <v>17712.400000000001</v>
      </c>
      <c r="K59" s="534"/>
      <c r="L59" s="534"/>
      <c r="M59" s="542"/>
      <c r="N59" s="534">
        <f t="shared" si="0"/>
        <v>0</v>
      </c>
      <c r="O59" s="534">
        <f t="shared" si="1"/>
        <v>0</v>
      </c>
      <c r="P59" s="373">
        <f>SUM(P60:P63)</f>
        <v>4047.6960000000004</v>
      </c>
    </row>
    <row r="60" spans="1:17" ht="26.4">
      <c r="A60" s="528" t="s">
        <v>138</v>
      </c>
      <c r="B60" s="528" t="s">
        <v>309</v>
      </c>
      <c r="C60" s="528">
        <v>96135</v>
      </c>
      <c r="D60" s="541" t="s">
        <v>139</v>
      </c>
      <c r="E60" s="528" t="s">
        <v>43</v>
      </c>
      <c r="F60" s="530">
        <v>208</v>
      </c>
      <c r="G60" s="530">
        <v>26.591105769230769</v>
      </c>
      <c r="H60" s="537">
        <v>5530.95</v>
      </c>
      <c r="I60" s="530">
        <v>208</v>
      </c>
      <c r="J60" s="530">
        <f>I60*G60</f>
        <v>5530.95</v>
      </c>
      <c r="K60" s="530"/>
      <c r="L60" s="538"/>
      <c r="M60" s="539">
        <v>26.77</v>
      </c>
      <c r="N60" s="539">
        <f t="shared" si="0"/>
        <v>33.462499999999999</v>
      </c>
      <c r="O60" s="540">
        <f t="shared" si="1"/>
        <v>0</v>
      </c>
      <c r="P60" s="380">
        <f t="shared" si="2"/>
        <v>0</v>
      </c>
    </row>
    <row r="61" spans="1:17" ht="31.8" customHeight="1">
      <c r="A61" s="528" t="s">
        <v>140</v>
      </c>
      <c r="B61" s="528" t="s">
        <v>309</v>
      </c>
      <c r="C61" s="528">
        <v>88489</v>
      </c>
      <c r="D61" s="541" t="s">
        <v>141</v>
      </c>
      <c r="E61" s="528" t="s">
        <v>43</v>
      </c>
      <c r="F61" s="530">
        <v>783</v>
      </c>
      <c r="G61" s="530">
        <v>13.18662835249042</v>
      </c>
      <c r="H61" s="537">
        <v>10325.129999999999</v>
      </c>
      <c r="I61" s="530">
        <v>562.98</v>
      </c>
      <c r="J61" s="530">
        <f>ROUNDUP(I61*G61,2)</f>
        <v>7423.81</v>
      </c>
      <c r="K61" s="530"/>
      <c r="L61" s="538"/>
      <c r="M61" s="539">
        <v>14.34</v>
      </c>
      <c r="N61" s="539">
        <f t="shared" si="0"/>
        <v>17.925000000000001</v>
      </c>
      <c r="O61" s="549">
        <f t="shared" si="1"/>
        <v>220.02</v>
      </c>
      <c r="P61" s="380">
        <f t="shared" si="2"/>
        <v>3943.8585000000003</v>
      </c>
      <c r="Q61" t="s">
        <v>400</v>
      </c>
    </row>
    <row r="62" spans="1:17" ht="31.2" customHeight="1">
      <c r="A62" s="528" t="s">
        <v>142</v>
      </c>
      <c r="B62" s="528" t="s">
        <v>309</v>
      </c>
      <c r="C62" s="528">
        <v>102213</v>
      </c>
      <c r="D62" s="536" t="s">
        <v>310</v>
      </c>
      <c r="E62" s="528" t="s">
        <v>43</v>
      </c>
      <c r="F62" s="530">
        <v>4.2595479345284488</v>
      </c>
      <c r="G62" s="530">
        <v>25.66</v>
      </c>
      <c r="H62" s="537">
        <v>109.3</v>
      </c>
      <c r="I62" s="530">
        <v>0</v>
      </c>
      <c r="J62" s="530">
        <v>0</v>
      </c>
      <c r="K62" s="530"/>
      <c r="L62" s="538"/>
      <c r="M62" s="539">
        <v>19.5</v>
      </c>
      <c r="N62" s="539">
        <f t="shared" si="0"/>
        <v>24.375</v>
      </c>
      <c r="O62" s="540">
        <f t="shared" si="1"/>
        <v>4.26</v>
      </c>
      <c r="P62" s="380">
        <f t="shared" si="2"/>
        <v>103.83749999999999</v>
      </c>
    </row>
    <row r="63" spans="1:17" ht="26.4">
      <c r="A63" s="528" t="s">
        <v>144</v>
      </c>
      <c r="B63" s="528" t="s">
        <v>309</v>
      </c>
      <c r="C63" s="528">
        <v>95468</v>
      </c>
      <c r="D63" s="541" t="s">
        <v>145</v>
      </c>
      <c r="E63" s="528" t="s">
        <v>43</v>
      </c>
      <c r="F63" s="530">
        <v>99</v>
      </c>
      <c r="G63" s="530">
        <v>48.056969696969695</v>
      </c>
      <c r="H63" s="537">
        <v>4757.6399999999994</v>
      </c>
      <c r="I63" s="530">
        <v>99</v>
      </c>
      <c r="J63" s="530">
        <f>I63*G63</f>
        <v>4757.6399999999994</v>
      </c>
      <c r="K63" s="530" t="s">
        <v>309</v>
      </c>
      <c r="L63" s="538">
        <v>100759</v>
      </c>
      <c r="M63" s="539">
        <v>43.64</v>
      </c>
      <c r="N63" s="539">
        <f t="shared" si="0"/>
        <v>54.55</v>
      </c>
      <c r="O63" s="540">
        <f t="shared" si="1"/>
        <v>0</v>
      </c>
      <c r="P63" s="380">
        <f t="shared" si="2"/>
        <v>0</v>
      </c>
    </row>
    <row r="64" spans="1:17" ht="16.95" customHeight="1">
      <c r="A64" s="532">
        <v>10</v>
      </c>
      <c r="B64" s="532"/>
      <c r="C64" s="532"/>
      <c r="D64" s="533" t="s">
        <v>146</v>
      </c>
      <c r="E64" s="532"/>
      <c r="F64" s="534"/>
      <c r="G64" s="534"/>
      <c r="H64" s="535">
        <v>11563.460000000001</v>
      </c>
      <c r="I64" s="534">
        <v>0</v>
      </c>
      <c r="J64" s="534">
        <f>SUM(J65:J69)</f>
        <v>0</v>
      </c>
      <c r="K64" s="534"/>
      <c r="L64" s="534"/>
      <c r="M64" s="542"/>
      <c r="N64" s="534">
        <f t="shared" si="0"/>
        <v>0</v>
      </c>
      <c r="O64" s="534">
        <f t="shared" si="1"/>
        <v>0</v>
      </c>
      <c r="P64" s="373">
        <f>SUM(P65:P69)</f>
        <v>14189.487499999999</v>
      </c>
    </row>
    <row r="65" spans="1:16" ht="16.95" customHeight="1">
      <c r="A65" s="528" t="s">
        <v>147</v>
      </c>
      <c r="B65" s="528" t="s">
        <v>304</v>
      </c>
      <c r="C65" s="528" t="s">
        <v>311</v>
      </c>
      <c r="D65" s="541" t="s">
        <v>148</v>
      </c>
      <c r="E65" s="528" t="s">
        <v>43</v>
      </c>
      <c r="F65" s="530">
        <v>9.999675261414561</v>
      </c>
      <c r="G65" s="530">
        <v>153.97</v>
      </c>
      <c r="H65" s="537">
        <v>1539.6499999999999</v>
      </c>
      <c r="I65" s="530">
        <v>0</v>
      </c>
      <c r="J65" s="530">
        <v>0</v>
      </c>
      <c r="K65" s="530"/>
      <c r="L65" s="538"/>
      <c r="M65" s="539">
        <v>205.93</v>
      </c>
      <c r="N65" s="539">
        <f t="shared" si="0"/>
        <v>257.41250000000002</v>
      </c>
      <c r="O65" s="540">
        <f t="shared" si="1"/>
        <v>10</v>
      </c>
      <c r="P65" s="380">
        <f t="shared" si="2"/>
        <v>2574.125</v>
      </c>
    </row>
    <row r="66" spans="1:16" ht="16.95" customHeight="1">
      <c r="A66" s="528" t="s">
        <v>149</v>
      </c>
      <c r="B66" s="528" t="s">
        <v>304</v>
      </c>
      <c r="C66" s="528" t="s">
        <v>312</v>
      </c>
      <c r="D66" s="541" t="s">
        <v>150</v>
      </c>
      <c r="E66" s="528" t="s">
        <v>151</v>
      </c>
      <c r="F66" s="530">
        <v>1</v>
      </c>
      <c r="G66" s="530">
        <v>3449.03</v>
      </c>
      <c r="H66" s="537">
        <v>3449.03</v>
      </c>
      <c r="I66" s="530">
        <v>0</v>
      </c>
      <c r="J66" s="530">
        <v>0</v>
      </c>
      <c r="K66" s="530"/>
      <c r="L66" s="538"/>
      <c r="M66" s="539">
        <v>3638.85</v>
      </c>
      <c r="N66" s="539">
        <f t="shared" si="0"/>
        <v>4548.5625</v>
      </c>
      <c r="O66" s="540">
        <f t="shared" si="1"/>
        <v>1</v>
      </c>
      <c r="P66" s="380">
        <f t="shared" si="2"/>
        <v>4548.5625</v>
      </c>
    </row>
    <row r="67" spans="1:16" ht="16.95" customHeight="1">
      <c r="A67" s="528" t="s">
        <v>152</v>
      </c>
      <c r="B67" s="528" t="s">
        <v>304</v>
      </c>
      <c r="C67" s="528" t="s">
        <v>313</v>
      </c>
      <c r="D67" s="541" t="s">
        <v>153</v>
      </c>
      <c r="E67" s="528" t="s">
        <v>151</v>
      </c>
      <c r="F67" s="530">
        <v>1.9999937134594832</v>
      </c>
      <c r="G67" s="530">
        <v>1590.7</v>
      </c>
      <c r="H67" s="537">
        <v>3181.39</v>
      </c>
      <c r="I67" s="530">
        <v>0</v>
      </c>
      <c r="J67" s="530">
        <v>0</v>
      </c>
      <c r="K67" s="530"/>
      <c r="L67" s="538"/>
      <c r="M67" s="539">
        <v>1291.43</v>
      </c>
      <c r="N67" s="539">
        <f t="shared" si="0"/>
        <v>1614.2875000000001</v>
      </c>
      <c r="O67" s="540">
        <f t="shared" si="1"/>
        <v>2</v>
      </c>
      <c r="P67" s="380">
        <f t="shared" si="2"/>
        <v>3228.5750000000003</v>
      </c>
    </row>
    <row r="68" spans="1:16" ht="16.95" customHeight="1">
      <c r="A68" s="528" t="s">
        <v>154</v>
      </c>
      <c r="B68" s="528" t="s">
        <v>304</v>
      </c>
      <c r="C68" s="528" t="s">
        <v>314</v>
      </c>
      <c r="D68" s="541" t="s">
        <v>155</v>
      </c>
      <c r="E68" s="528" t="s">
        <v>151</v>
      </c>
      <c r="F68" s="530">
        <v>2</v>
      </c>
      <c r="G68" s="530">
        <v>997.64</v>
      </c>
      <c r="H68" s="537">
        <v>1995.28</v>
      </c>
      <c r="I68" s="530">
        <v>0</v>
      </c>
      <c r="J68" s="530">
        <v>0</v>
      </c>
      <c r="K68" s="530"/>
      <c r="L68" s="538"/>
      <c r="M68" s="539">
        <v>960.87</v>
      </c>
      <c r="N68" s="539">
        <f t="shared" si="0"/>
        <v>1201.0875000000001</v>
      </c>
      <c r="O68" s="540">
        <f t="shared" si="1"/>
        <v>2</v>
      </c>
      <c r="P68" s="380">
        <f t="shared" si="2"/>
        <v>2402.1750000000002</v>
      </c>
    </row>
    <row r="69" spans="1:16" ht="16.95" customHeight="1">
      <c r="A69" s="528" t="s">
        <v>156</v>
      </c>
      <c r="B69" s="528" t="s">
        <v>304</v>
      </c>
      <c r="C69" s="528" t="s">
        <v>315</v>
      </c>
      <c r="D69" s="541" t="s">
        <v>157</v>
      </c>
      <c r="E69" s="528" t="s">
        <v>151</v>
      </c>
      <c r="F69" s="530">
        <v>1</v>
      </c>
      <c r="G69" s="530">
        <v>1398.11</v>
      </c>
      <c r="H69" s="537">
        <v>1398.11</v>
      </c>
      <c r="I69" s="530">
        <v>0</v>
      </c>
      <c r="J69" s="530">
        <v>0</v>
      </c>
      <c r="K69" s="530"/>
      <c r="L69" s="538"/>
      <c r="M69" s="539">
        <v>1148.8399999999999</v>
      </c>
      <c r="N69" s="539">
        <f t="shared" si="0"/>
        <v>1436.05</v>
      </c>
      <c r="O69" s="540">
        <f t="shared" si="1"/>
        <v>1</v>
      </c>
      <c r="P69" s="380">
        <f t="shared" si="2"/>
        <v>1436.05</v>
      </c>
    </row>
    <row r="70" spans="1:16" ht="16.8" customHeight="1">
      <c r="A70" s="532">
        <v>11</v>
      </c>
      <c r="B70" s="532"/>
      <c r="C70" s="532"/>
      <c r="D70" s="533" t="s">
        <v>158</v>
      </c>
      <c r="E70" s="532"/>
      <c r="F70" s="534"/>
      <c r="G70" s="534"/>
      <c r="H70" s="535">
        <v>75679.460000000006</v>
      </c>
      <c r="I70" s="534">
        <v>0</v>
      </c>
      <c r="J70" s="534">
        <f>SUM(J71:J79)</f>
        <v>0</v>
      </c>
      <c r="K70" s="534"/>
      <c r="L70" s="534"/>
      <c r="M70" s="542"/>
      <c r="N70" s="534">
        <f t="shared" si="0"/>
        <v>0</v>
      </c>
      <c r="O70" s="534">
        <f t="shared" si="1"/>
        <v>0</v>
      </c>
      <c r="P70" s="373">
        <f>SUM(P71:P79)</f>
        <v>107405.1675</v>
      </c>
    </row>
    <row r="71" spans="1:16" ht="15.6" customHeight="1">
      <c r="A71" s="528" t="s">
        <v>159</v>
      </c>
      <c r="B71" s="528" t="s">
        <v>304</v>
      </c>
      <c r="C71" s="528" t="s">
        <v>316</v>
      </c>
      <c r="D71" s="541" t="s">
        <v>160</v>
      </c>
      <c r="E71" s="528" t="s">
        <v>43</v>
      </c>
      <c r="F71" s="530">
        <v>386.9</v>
      </c>
      <c r="G71" s="530">
        <v>168.20987335228742</v>
      </c>
      <c r="H71" s="537">
        <v>65080.399999999994</v>
      </c>
      <c r="I71" s="530">
        <v>0</v>
      </c>
      <c r="J71" s="530">
        <v>0</v>
      </c>
      <c r="K71" s="530"/>
      <c r="L71" s="538"/>
      <c r="M71" s="539">
        <v>186.66</v>
      </c>
      <c r="N71" s="539">
        <f t="shared" si="0"/>
        <v>233.32499999999999</v>
      </c>
      <c r="O71" s="540">
        <f t="shared" si="1"/>
        <v>386.9</v>
      </c>
      <c r="P71" s="380">
        <f t="shared" si="2"/>
        <v>90273.44249999999</v>
      </c>
    </row>
    <row r="72" spans="1:16" ht="30.6" customHeight="1">
      <c r="A72" s="528" t="s">
        <v>161</v>
      </c>
      <c r="B72" s="528" t="s">
        <v>304</v>
      </c>
      <c r="C72" s="528" t="s">
        <v>317</v>
      </c>
      <c r="D72" s="541" t="s">
        <v>162</v>
      </c>
      <c r="E72" s="528" t="s">
        <v>93</v>
      </c>
      <c r="F72" s="530">
        <v>8.0000939165551408</v>
      </c>
      <c r="G72" s="530">
        <v>425.91</v>
      </c>
      <c r="H72" s="537">
        <v>3407.32</v>
      </c>
      <c r="I72" s="530">
        <v>0</v>
      </c>
      <c r="J72" s="530">
        <v>0</v>
      </c>
      <c r="K72" s="530"/>
      <c r="L72" s="538"/>
      <c r="M72" s="539">
        <v>628.70000000000005</v>
      </c>
      <c r="N72" s="539">
        <f t="shared" si="0"/>
        <v>785.875</v>
      </c>
      <c r="O72" s="540">
        <f t="shared" si="1"/>
        <v>8</v>
      </c>
      <c r="P72" s="380">
        <f t="shared" si="2"/>
        <v>6287</v>
      </c>
    </row>
    <row r="73" spans="1:16" ht="42.6" customHeight="1">
      <c r="A73" s="528" t="s">
        <v>163</v>
      </c>
      <c r="B73" s="528" t="s">
        <v>309</v>
      </c>
      <c r="C73" s="528">
        <v>91926</v>
      </c>
      <c r="D73" s="541" t="s">
        <v>164</v>
      </c>
      <c r="E73" s="528" t="s">
        <v>59</v>
      </c>
      <c r="F73" s="530">
        <v>360</v>
      </c>
      <c r="G73" s="530">
        <v>2.811638888888889</v>
      </c>
      <c r="H73" s="537">
        <v>1012.19</v>
      </c>
      <c r="I73" s="530">
        <v>0</v>
      </c>
      <c r="J73" s="530">
        <v>0</v>
      </c>
      <c r="K73" s="530"/>
      <c r="L73" s="538"/>
      <c r="M73" s="539">
        <v>3.9</v>
      </c>
      <c r="N73" s="539">
        <f t="shared" si="0"/>
        <v>4.875</v>
      </c>
      <c r="O73" s="540">
        <f t="shared" si="1"/>
        <v>360</v>
      </c>
      <c r="P73" s="380">
        <f t="shared" si="2"/>
        <v>1755</v>
      </c>
    </row>
    <row r="74" spans="1:16" ht="41.4" customHeight="1">
      <c r="A74" s="528" t="s">
        <v>165</v>
      </c>
      <c r="B74" s="528" t="s">
        <v>309</v>
      </c>
      <c r="C74" s="528">
        <v>91854</v>
      </c>
      <c r="D74" s="541" t="s">
        <v>166</v>
      </c>
      <c r="E74" s="528" t="s">
        <v>59</v>
      </c>
      <c r="F74" s="530">
        <v>150</v>
      </c>
      <c r="G74" s="530">
        <v>8.1547333333333345</v>
      </c>
      <c r="H74" s="537">
        <v>1223.2100000000003</v>
      </c>
      <c r="I74" s="530">
        <v>0</v>
      </c>
      <c r="J74" s="530">
        <v>0</v>
      </c>
      <c r="K74" s="530"/>
      <c r="L74" s="538"/>
      <c r="M74" s="539">
        <v>8.5399999999999991</v>
      </c>
      <c r="N74" s="539">
        <f t="shared" ref="N74:N85" si="3">M74+(M74*$N$7)</f>
        <v>10.674999999999999</v>
      </c>
      <c r="O74" s="540">
        <f t="shared" si="1"/>
        <v>150</v>
      </c>
      <c r="P74" s="380">
        <f t="shared" si="2"/>
        <v>1601.2499999999998</v>
      </c>
    </row>
    <row r="75" spans="1:16" ht="30" customHeight="1">
      <c r="A75" s="528" t="s">
        <v>167</v>
      </c>
      <c r="B75" s="528" t="s">
        <v>304</v>
      </c>
      <c r="C75" s="528" t="s">
        <v>318</v>
      </c>
      <c r="D75" s="541" t="s">
        <v>168</v>
      </c>
      <c r="E75" s="528" t="s">
        <v>93</v>
      </c>
      <c r="F75" s="530">
        <v>8.9990196078431381</v>
      </c>
      <c r="G75" s="530">
        <v>20.399999999999999</v>
      </c>
      <c r="H75" s="537">
        <v>183.58</v>
      </c>
      <c r="I75" s="530">
        <v>0</v>
      </c>
      <c r="J75" s="530">
        <v>0</v>
      </c>
      <c r="K75" s="530"/>
      <c r="L75" s="538"/>
      <c r="M75" s="539">
        <v>24.88</v>
      </c>
      <c r="N75" s="539">
        <f t="shared" si="3"/>
        <v>31.099999999999998</v>
      </c>
      <c r="O75" s="540">
        <f t="shared" ref="O75:O85" si="4">ROUND(F75-I75,2)</f>
        <v>9</v>
      </c>
      <c r="P75" s="380">
        <f t="shared" ref="P75:P85" si="5">N75*O75</f>
        <v>279.89999999999998</v>
      </c>
    </row>
    <row r="76" spans="1:16" ht="30.6" customHeight="1">
      <c r="A76" s="528" t="s">
        <v>169</v>
      </c>
      <c r="B76" s="528" t="s">
        <v>304</v>
      </c>
      <c r="C76" s="528" t="s">
        <v>319</v>
      </c>
      <c r="D76" s="541" t="s">
        <v>170</v>
      </c>
      <c r="E76" s="528" t="s">
        <v>93</v>
      </c>
      <c r="F76" s="530">
        <v>8.0000804812780419</v>
      </c>
      <c r="G76" s="530">
        <v>497.01</v>
      </c>
      <c r="H76" s="537">
        <v>3976.1199999999994</v>
      </c>
      <c r="I76" s="530">
        <v>0</v>
      </c>
      <c r="J76" s="530">
        <v>0</v>
      </c>
      <c r="K76" s="530"/>
      <c r="L76" s="538"/>
      <c r="M76" s="539">
        <v>575.98</v>
      </c>
      <c r="N76" s="539">
        <f t="shared" si="3"/>
        <v>719.97500000000002</v>
      </c>
      <c r="O76" s="540">
        <f t="shared" si="4"/>
        <v>8</v>
      </c>
      <c r="P76" s="380">
        <f t="shared" si="5"/>
        <v>5759.8</v>
      </c>
    </row>
    <row r="77" spans="1:16" ht="29.4" customHeight="1">
      <c r="A77" s="528" t="s">
        <v>171</v>
      </c>
      <c r="B77" s="528" t="s">
        <v>304</v>
      </c>
      <c r="C77" s="528" t="s">
        <v>320</v>
      </c>
      <c r="D77" s="541" t="s">
        <v>172</v>
      </c>
      <c r="E77" s="528" t="s">
        <v>93</v>
      </c>
      <c r="F77" s="530">
        <v>8</v>
      </c>
      <c r="G77" s="530">
        <v>6.9612499999999997</v>
      </c>
      <c r="H77" s="537">
        <v>55.69</v>
      </c>
      <c r="I77" s="530">
        <v>0</v>
      </c>
      <c r="J77" s="530">
        <v>0</v>
      </c>
      <c r="K77" s="530"/>
      <c r="L77" s="538"/>
      <c r="M77" s="539">
        <v>7.51</v>
      </c>
      <c r="N77" s="539">
        <f t="shared" si="3"/>
        <v>9.3874999999999993</v>
      </c>
      <c r="O77" s="540">
        <f t="shared" si="4"/>
        <v>8</v>
      </c>
      <c r="P77" s="380">
        <f t="shared" si="5"/>
        <v>75.099999999999994</v>
      </c>
    </row>
    <row r="78" spans="1:16" ht="30" customHeight="1">
      <c r="A78" s="528" t="s">
        <v>173</v>
      </c>
      <c r="B78" s="528" t="s">
        <v>304</v>
      </c>
      <c r="C78" s="528" t="s">
        <v>321</v>
      </c>
      <c r="D78" s="541" t="s">
        <v>174</v>
      </c>
      <c r="E78" s="528" t="s">
        <v>93</v>
      </c>
      <c r="F78" s="530">
        <v>11.000419815281276</v>
      </c>
      <c r="G78" s="530">
        <v>23.82</v>
      </c>
      <c r="H78" s="537">
        <v>262.03000000000003</v>
      </c>
      <c r="I78" s="530">
        <v>0</v>
      </c>
      <c r="J78" s="530">
        <v>0</v>
      </c>
      <c r="K78" s="530"/>
      <c r="L78" s="538"/>
      <c r="M78" s="539">
        <v>28.94</v>
      </c>
      <c r="N78" s="539">
        <f t="shared" si="3"/>
        <v>36.175000000000004</v>
      </c>
      <c r="O78" s="540">
        <f t="shared" si="4"/>
        <v>11</v>
      </c>
      <c r="P78" s="380">
        <f t="shared" si="5"/>
        <v>397.92500000000007</v>
      </c>
    </row>
    <row r="79" spans="1:16" ht="43.8" customHeight="1">
      <c r="A79" s="528" t="s">
        <v>175</v>
      </c>
      <c r="B79" s="528" t="s">
        <v>304</v>
      </c>
      <c r="C79" s="528" t="s">
        <v>322</v>
      </c>
      <c r="D79" s="541" t="s">
        <v>176</v>
      </c>
      <c r="E79" s="528" t="s">
        <v>93</v>
      </c>
      <c r="F79" s="530">
        <v>3</v>
      </c>
      <c r="G79" s="530">
        <v>159.63999999999999</v>
      </c>
      <c r="H79" s="537">
        <v>478.91999999999996</v>
      </c>
      <c r="I79" s="530">
        <v>0</v>
      </c>
      <c r="J79" s="530">
        <v>0</v>
      </c>
      <c r="K79" s="530"/>
      <c r="L79" s="538"/>
      <c r="M79" s="539">
        <v>260.2</v>
      </c>
      <c r="N79" s="539">
        <f t="shared" si="3"/>
        <v>325.25</v>
      </c>
      <c r="O79" s="540">
        <f t="shared" si="4"/>
        <v>3</v>
      </c>
      <c r="P79" s="380">
        <f t="shared" si="5"/>
        <v>975.75</v>
      </c>
    </row>
    <row r="80" spans="1:16" ht="15" customHeight="1">
      <c r="A80" s="532">
        <v>12</v>
      </c>
      <c r="B80" s="532"/>
      <c r="C80" s="532"/>
      <c r="D80" s="533" t="s">
        <v>177</v>
      </c>
      <c r="E80" s="532"/>
      <c r="F80" s="534"/>
      <c r="G80" s="534"/>
      <c r="H80" s="535">
        <v>14838.84</v>
      </c>
      <c r="I80" s="534">
        <v>0</v>
      </c>
      <c r="J80" s="534">
        <f>J81</f>
        <v>0</v>
      </c>
      <c r="K80" s="534"/>
      <c r="L80" s="534"/>
      <c r="M80" s="542"/>
      <c r="N80" s="534">
        <f t="shared" si="3"/>
        <v>0</v>
      </c>
      <c r="O80" s="534">
        <f t="shared" si="4"/>
        <v>0</v>
      </c>
      <c r="P80" s="373">
        <f>P81</f>
        <v>30706.587499999998</v>
      </c>
    </row>
    <row r="81" spans="1:17" ht="69.599999999999994" customHeight="1">
      <c r="A81" s="528" t="s">
        <v>178</v>
      </c>
      <c r="B81" s="528" t="s">
        <v>309</v>
      </c>
      <c r="C81" s="528">
        <v>99837</v>
      </c>
      <c r="D81" s="541" t="s">
        <v>179</v>
      </c>
      <c r="E81" s="528" t="s">
        <v>59</v>
      </c>
      <c r="F81" s="530">
        <v>35.300314016557238</v>
      </c>
      <c r="G81" s="530">
        <v>420.36</v>
      </c>
      <c r="H81" s="537">
        <v>14838.84</v>
      </c>
      <c r="I81" s="530">
        <v>0</v>
      </c>
      <c r="J81" s="530">
        <v>0</v>
      </c>
      <c r="K81" s="530"/>
      <c r="L81" s="538"/>
      <c r="M81" s="539">
        <v>695.9</v>
      </c>
      <c r="N81" s="539">
        <f t="shared" si="3"/>
        <v>869.875</v>
      </c>
      <c r="O81" s="540">
        <f t="shared" si="4"/>
        <v>35.299999999999997</v>
      </c>
      <c r="P81" s="380">
        <f t="shared" si="5"/>
        <v>30706.587499999998</v>
      </c>
    </row>
    <row r="82" spans="1:17">
      <c r="A82" s="532">
        <v>13</v>
      </c>
      <c r="B82" s="532"/>
      <c r="C82" s="532"/>
      <c r="D82" s="533" t="s">
        <v>180</v>
      </c>
      <c r="E82" s="532"/>
      <c r="F82" s="534"/>
      <c r="G82" s="534"/>
      <c r="H82" s="535">
        <v>1011.7300000000002</v>
      </c>
      <c r="I82" s="534">
        <v>0</v>
      </c>
      <c r="J82" s="534">
        <f>ROUND(SUM(J83:J85),2)</f>
        <v>717.16</v>
      </c>
      <c r="K82" s="534"/>
      <c r="L82" s="534"/>
      <c r="M82" s="542"/>
      <c r="N82" s="534">
        <f t="shared" si="3"/>
        <v>0</v>
      </c>
      <c r="O82" s="534">
        <f t="shared" si="4"/>
        <v>0</v>
      </c>
      <c r="P82" s="373">
        <f>SUM(P83:P85)</f>
        <v>381.22500000000002</v>
      </c>
    </row>
    <row r="83" spans="1:17" ht="26.4">
      <c r="A83" s="528" t="s">
        <v>181</v>
      </c>
      <c r="B83" s="528" t="s">
        <v>309</v>
      </c>
      <c r="C83" s="528">
        <v>72897</v>
      </c>
      <c r="D83" s="541" t="s">
        <v>182</v>
      </c>
      <c r="E83" s="528" t="s">
        <v>49</v>
      </c>
      <c r="F83" s="530">
        <v>22.001917913310322</v>
      </c>
      <c r="G83" s="530">
        <v>26.07</v>
      </c>
      <c r="H83" s="537">
        <v>573.59000000000015</v>
      </c>
      <c r="I83" s="530">
        <v>22.001917913310322</v>
      </c>
      <c r="J83" s="530">
        <v>573.59000000000015</v>
      </c>
      <c r="K83" s="530"/>
      <c r="L83" s="538"/>
      <c r="M83" s="539"/>
      <c r="N83" s="539">
        <f t="shared" si="3"/>
        <v>0</v>
      </c>
      <c r="O83" s="540">
        <f t="shared" si="4"/>
        <v>0</v>
      </c>
      <c r="P83" s="380">
        <f t="shared" si="5"/>
        <v>0</v>
      </c>
    </row>
    <row r="84" spans="1:17" ht="26.4">
      <c r="A84" s="528" t="s">
        <v>183</v>
      </c>
      <c r="B84" s="528" t="s">
        <v>309</v>
      </c>
      <c r="C84" s="528">
        <v>72900</v>
      </c>
      <c r="D84" s="541" t="s">
        <v>184</v>
      </c>
      <c r="E84" s="528" t="s">
        <v>49</v>
      </c>
      <c r="F84" s="530">
        <v>22</v>
      </c>
      <c r="G84" s="530">
        <v>6.5259090909090913</v>
      </c>
      <c r="H84" s="537">
        <v>143.57000000000002</v>
      </c>
      <c r="I84" s="530">
        <v>22</v>
      </c>
      <c r="J84" s="530">
        <v>143.57000000000002</v>
      </c>
      <c r="K84" s="530"/>
      <c r="L84" s="538"/>
      <c r="M84" s="539"/>
      <c r="N84" s="539">
        <f t="shared" si="3"/>
        <v>0</v>
      </c>
      <c r="O84" s="540">
        <f t="shared" si="4"/>
        <v>0</v>
      </c>
      <c r="P84" s="380">
        <f t="shared" si="5"/>
        <v>0</v>
      </c>
    </row>
    <row r="85" spans="1:17">
      <c r="A85" s="528" t="s">
        <v>185</v>
      </c>
      <c r="B85" s="528" t="s">
        <v>304</v>
      </c>
      <c r="C85" s="528" t="s">
        <v>323</v>
      </c>
      <c r="D85" s="541" t="s">
        <v>186</v>
      </c>
      <c r="E85" s="528" t="s">
        <v>43</v>
      </c>
      <c r="F85" s="530">
        <v>26</v>
      </c>
      <c r="G85" s="530">
        <v>11.329615384615385</v>
      </c>
      <c r="H85" s="537">
        <v>294.57</v>
      </c>
      <c r="I85" s="530">
        <v>0</v>
      </c>
      <c r="J85" s="530">
        <v>0</v>
      </c>
      <c r="K85" s="530"/>
      <c r="L85" s="538"/>
      <c r="M85" s="539">
        <v>11.73</v>
      </c>
      <c r="N85" s="539">
        <f t="shared" si="3"/>
        <v>14.662500000000001</v>
      </c>
      <c r="O85" s="548">
        <f t="shared" si="4"/>
        <v>26</v>
      </c>
      <c r="P85" s="380">
        <f t="shared" si="5"/>
        <v>381.22500000000002</v>
      </c>
      <c r="Q85" t="s">
        <v>336</v>
      </c>
    </row>
    <row r="87" spans="1:17" ht="20.399999999999999" customHeight="1">
      <c r="A87" s="550" t="s">
        <v>336</v>
      </c>
      <c r="B87" s="841" t="s">
        <v>399</v>
      </c>
      <c r="C87" s="841"/>
      <c r="D87" s="841"/>
      <c r="E87" s="843"/>
      <c r="F87" s="843"/>
      <c r="G87" s="843"/>
      <c r="H87" s="843"/>
      <c r="I87" s="843"/>
      <c r="J87" s="843"/>
      <c r="K87" s="843"/>
      <c r="L87" s="843"/>
      <c r="M87" s="843"/>
      <c r="N87" s="843"/>
      <c r="O87" s="843"/>
    </row>
    <row r="88" spans="1:17" ht="21.6" customHeight="1">
      <c r="A88" s="552" t="s">
        <v>400</v>
      </c>
      <c r="B88" s="842" t="s">
        <v>401</v>
      </c>
      <c r="C88" s="842"/>
      <c r="D88" s="842"/>
      <c r="E88" s="843"/>
      <c r="F88" s="843"/>
      <c r="G88" s="843"/>
      <c r="H88" s="843"/>
      <c r="I88" s="843"/>
      <c r="J88" s="843"/>
      <c r="K88" s="843"/>
      <c r="L88" s="843"/>
      <c r="M88" s="843"/>
      <c r="N88" s="843"/>
      <c r="O88" s="843"/>
    </row>
    <row r="92" spans="1:17">
      <c r="C92" s="555" t="s">
        <v>406</v>
      </c>
      <c r="D92" s="555"/>
    </row>
    <row r="100" spans="4:10" ht="15.6">
      <c r="D100" s="558" t="s">
        <v>357</v>
      </c>
      <c r="E100" s="558"/>
      <c r="F100" s="558"/>
      <c r="G100" s="558"/>
      <c r="H100" s="558"/>
      <c r="I100" s="558"/>
      <c r="J100" s="558"/>
    </row>
    <row r="101" spans="4:10" ht="15.6">
      <c r="D101" s="554" t="s">
        <v>358</v>
      </c>
      <c r="E101" s="554"/>
      <c r="F101" s="554"/>
      <c r="G101" s="554"/>
      <c r="H101" s="554"/>
      <c r="I101" s="554"/>
      <c r="J101" s="554"/>
    </row>
    <row r="102" spans="4:10" ht="15.6">
      <c r="D102" s="554" t="s">
        <v>359</v>
      </c>
      <c r="E102" s="554"/>
      <c r="F102" s="554"/>
      <c r="G102" s="554"/>
      <c r="H102" s="554"/>
      <c r="I102" s="554"/>
      <c r="J102" s="554"/>
    </row>
    <row r="103" spans="4:10" ht="15.6">
      <c r="D103" s="554" t="s">
        <v>361</v>
      </c>
      <c r="E103" s="554"/>
      <c r="F103" s="554"/>
      <c r="G103" s="554"/>
      <c r="H103" s="554"/>
      <c r="I103" s="554"/>
      <c r="J103" s="554"/>
    </row>
  </sheetData>
  <mergeCells count="13">
    <mergeCell ref="D101:J101"/>
    <mergeCell ref="D102:J102"/>
    <mergeCell ref="D103:J103"/>
    <mergeCell ref="C92:D92"/>
    <mergeCell ref="A1:O1"/>
    <mergeCell ref="A2:O2"/>
    <mergeCell ref="D100:J100"/>
    <mergeCell ref="D5:H5"/>
    <mergeCell ref="I5:J5"/>
    <mergeCell ref="K5:L5"/>
    <mergeCell ref="M5:P5"/>
    <mergeCell ref="B87:D87"/>
    <mergeCell ref="B88:D88"/>
  </mergeCells>
  <pageMargins left="0.70866141732283472" right="0.70866141732283472" top="0.94488188976377963" bottom="0.78740157480314965" header="0.19685039370078741" footer="0.31496062992125984"/>
  <pageSetup paperSize="9" scale="70" orientation="portrait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107"/>
  <sheetViews>
    <sheetView view="pageLayout" topLeftCell="A99" workbookViewId="0">
      <selection activeCell="H102" sqref="H102:N105"/>
    </sheetView>
  </sheetViews>
  <sheetFormatPr defaultRowHeight="13.2"/>
  <cols>
    <col min="1" max="1" width="3.88671875" style="404" customWidth="1"/>
    <col min="2" max="2" width="8" style="404" customWidth="1"/>
    <col min="3" max="3" width="9.5546875" style="404" customWidth="1"/>
    <col min="4" max="4" width="8.21875" style="404" customWidth="1"/>
    <col min="5" max="5" width="10.77734375" style="404" customWidth="1"/>
    <col min="6" max="6" width="15.21875" style="404" customWidth="1"/>
    <col min="7" max="7" width="48.21875" style="404" customWidth="1"/>
    <col min="8" max="8" width="9.21875" style="404" bestFit="1" customWidth="1"/>
    <col min="9" max="9" width="11" style="404" customWidth="1"/>
    <col min="10" max="10" width="14.109375" style="404" customWidth="1"/>
    <col min="11" max="11" width="10.88671875" style="404" customWidth="1"/>
    <col min="12" max="12" width="15.33203125" style="404" customWidth="1"/>
    <col min="13" max="13" width="15.44140625" style="404" customWidth="1"/>
    <col min="14" max="14" width="11.88671875" customWidth="1"/>
  </cols>
  <sheetData>
    <row r="1" spans="1:46" ht="22.2" customHeight="1">
      <c r="A1" s="571" t="s">
        <v>364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</row>
    <row r="2" spans="1:46" ht="19.8" customHeight="1">
      <c r="A2" s="572" t="s">
        <v>365</v>
      </c>
      <c r="B2" s="572"/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</row>
    <row r="4" spans="1:46" s="383" customFormat="1" ht="15.6">
      <c r="A4" s="384"/>
      <c r="B4" s="569" t="s">
        <v>340</v>
      </c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384"/>
      <c r="O4" s="384"/>
    </row>
    <row r="5" spans="1:46" s="383" customFormat="1" ht="15.6">
      <c r="A5" s="384"/>
      <c r="B5" s="570" t="str">
        <f>IF(TIPOORCAMENTO="licitado","Orçamento Licitado","Orçamento Base para Licitação")&amp;" - "&amp;import.recurso</f>
        <v>Orçamento Base para Licitação - OGU</v>
      </c>
      <c r="C5" s="570"/>
      <c r="D5" s="570"/>
      <c r="E5" s="570"/>
      <c r="F5" s="570"/>
      <c r="G5" s="570"/>
      <c r="H5" s="570"/>
      <c r="I5" s="570"/>
      <c r="J5" s="570"/>
      <c r="K5" s="570"/>
      <c r="L5" s="570"/>
      <c r="M5" s="570"/>
      <c r="N5" s="384"/>
      <c r="O5" s="384"/>
    </row>
    <row r="6" spans="1:46" s="383" customFormat="1" ht="10.95" customHeight="1">
      <c r="A6" s="384"/>
      <c r="B6" s="384"/>
      <c r="C6" s="384"/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</row>
    <row r="7" spans="1:46" s="383" customFormat="1" ht="15.6">
      <c r="A7" s="384"/>
      <c r="B7" s="384"/>
      <c r="C7" s="575" t="s">
        <v>210</v>
      </c>
      <c r="D7" s="576"/>
      <c r="E7" s="577"/>
      <c r="F7" s="385" t="s">
        <v>211</v>
      </c>
      <c r="G7" s="385" t="s">
        <v>222</v>
      </c>
      <c r="H7" s="575" t="s">
        <v>225</v>
      </c>
      <c r="I7" s="576"/>
      <c r="J7" s="576"/>
      <c r="K7" s="576"/>
      <c r="L7" s="576"/>
      <c r="M7" s="577"/>
      <c r="N7" s="438"/>
      <c r="O7" s="386"/>
    </row>
    <row r="8" spans="1:46" s="383" customFormat="1" ht="15.6" customHeight="1">
      <c r="A8" s="384"/>
      <c r="B8" s="384"/>
      <c r="C8" s="578"/>
      <c r="D8" s="579"/>
      <c r="E8" s="580"/>
      <c r="F8" s="387"/>
      <c r="G8" s="387" t="str">
        <f>Import.Proponente</f>
        <v>Prefeitura Municipal de Paranapanema</v>
      </c>
      <c r="H8" s="578" t="s">
        <v>341</v>
      </c>
      <c r="I8" s="579"/>
      <c r="J8" s="579"/>
      <c r="K8" s="579"/>
      <c r="L8" s="579"/>
      <c r="M8" s="580"/>
      <c r="N8" s="439"/>
      <c r="O8" s="388"/>
    </row>
    <row r="9" spans="1:46" s="383" customFormat="1" ht="16.95" customHeight="1">
      <c r="A9" s="384"/>
      <c r="B9" s="384"/>
      <c r="C9" s="581" t="s">
        <v>342</v>
      </c>
      <c r="D9" s="582"/>
      <c r="E9" s="583"/>
      <c r="F9" s="389" t="s">
        <v>343</v>
      </c>
      <c r="G9" s="385" t="str">
        <f>IF(TIPOORCAMENTO="Licitado","NOME DA EMPRESA","DESCRIÇÃO DO LOTE")</f>
        <v>DESCRIÇÃO DO LOTE</v>
      </c>
      <c r="H9" s="575" t="str">
        <f>IF(TIPOORCAMENTO="Licitado","REGIME DE EXECUÇÃO","MUNICÍPIO / UF")</f>
        <v>MUNICÍPIO / UF</v>
      </c>
      <c r="I9" s="576"/>
      <c r="J9" s="577"/>
      <c r="K9" s="385" t="str">
        <f>IF(TIPOORCAMENTO="Licitado","","BDI 1")</f>
        <v>BDI 1</v>
      </c>
      <c r="L9" s="385" t="str">
        <f>IF(TIPOORCAMENTO="Licitado","","BDI 2")</f>
        <v>BDI 2</v>
      </c>
      <c r="M9" s="385" t="str">
        <f>IF(TIPOORCAMENTO="Licitado","Nº CTEF","BDI 3")</f>
        <v>BDI 3</v>
      </c>
      <c r="N9" s="440"/>
      <c r="O9" s="386"/>
    </row>
    <row r="10" spans="1:46" s="383" customFormat="1" ht="18.600000000000001" customHeight="1">
      <c r="A10" s="384"/>
      <c r="B10" s="384"/>
      <c r="C10" s="584" t="s">
        <v>373</v>
      </c>
      <c r="D10" s="585"/>
      <c r="E10" s="586"/>
      <c r="F10" s="462" t="s">
        <v>402</v>
      </c>
      <c r="G10" s="387" t="s">
        <v>344</v>
      </c>
      <c r="H10" s="578" t="str">
        <f>IF(TIPOORCAMENTO="Licitado",Import.RegimeExecução,Import.Município)</f>
        <v>Paranapanema/SP</v>
      </c>
      <c r="I10" s="579"/>
      <c r="J10" s="580"/>
      <c r="K10" s="390">
        <v>0.25</v>
      </c>
      <c r="L10" s="390">
        <v>0</v>
      </c>
      <c r="M10" s="390">
        <v>0</v>
      </c>
      <c r="O10" s="391"/>
    </row>
    <row r="11" spans="1:46" s="392" customFormat="1" ht="10.199999999999999" customHeight="1">
      <c r="A11" s="199"/>
      <c r="B11" s="199"/>
      <c r="C11" s="199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O11" s="197"/>
    </row>
    <row r="12" spans="1:46" s="392" customFormat="1" ht="34.950000000000003" customHeight="1">
      <c r="A12" s="199"/>
      <c r="B12" s="260" t="s">
        <v>18</v>
      </c>
      <c r="C12" s="260" t="s">
        <v>345</v>
      </c>
      <c r="D12" s="260" t="s">
        <v>27</v>
      </c>
      <c r="E12" s="260" t="s">
        <v>303</v>
      </c>
      <c r="F12" s="260" t="s">
        <v>301</v>
      </c>
      <c r="G12" s="260" t="s">
        <v>346</v>
      </c>
      <c r="H12" s="393" t="s">
        <v>347</v>
      </c>
      <c r="I12" s="260" t="s">
        <v>348</v>
      </c>
      <c r="J12" s="260" t="str">
        <f>IF(TIPOORCAMENTO="Licitado","","Custo Unitário (sem BDI) (R$)")</f>
        <v>Custo Unitário (sem BDI) (R$)</v>
      </c>
      <c r="K12" s="260" t="str">
        <f>IF(TIPOORCAMENTO="Licitado","","BDI(%)")</f>
        <v>BDI(%)</v>
      </c>
      <c r="L12" s="260" t="s">
        <v>349</v>
      </c>
      <c r="M12" s="260" t="s">
        <v>32</v>
      </c>
      <c r="O12" s="394"/>
      <c r="P12" s="395"/>
      <c r="Q12" s="395"/>
      <c r="R12" s="395"/>
      <c r="S12" s="395"/>
      <c r="T12" s="395"/>
      <c r="U12" s="395"/>
      <c r="V12" s="395"/>
      <c r="W12" s="395"/>
      <c r="X12" s="395"/>
      <c r="Y12" s="395"/>
      <c r="Z12" s="395"/>
      <c r="AA12" s="395"/>
      <c r="AB12" s="396"/>
      <c r="AC12" s="396"/>
      <c r="AD12" s="396"/>
      <c r="AE12" s="396"/>
      <c r="AF12" s="396"/>
      <c r="AG12" s="396"/>
      <c r="AH12" s="396"/>
      <c r="AI12" s="396"/>
      <c r="AJ12" s="396"/>
      <c r="AK12" s="397"/>
      <c r="AL12" s="397"/>
      <c r="AM12" s="397"/>
      <c r="AN12" s="397"/>
      <c r="AO12" s="397"/>
      <c r="AP12" s="397"/>
      <c r="AQ12" s="397"/>
      <c r="AR12" s="397"/>
      <c r="AS12" s="397"/>
      <c r="AT12" s="397"/>
    </row>
    <row r="13" spans="1:46" ht="16.2" customHeight="1">
      <c r="B13" s="398" t="s">
        <v>350</v>
      </c>
      <c r="C13" s="398" t="s">
        <v>350</v>
      </c>
      <c r="D13" s="445" t="s">
        <v>351</v>
      </c>
      <c r="E13" s="415"/>
      <c r="F13" s="415"/>
      <c r="G13" s="415"/>
      <c r="H13" s="415"/>
      <c r="I13" s="415"/>
      <c r="J13" s="415"/>
      <c r="K13" s="415"/>
      <c r="L13" s="415"/>
      <c r="M13" s="444">
        <f>SUM(M14+M17,M45,M53,M66,M71,M77,M87,M89)</f>
        <v>185007.83074999999</v>
      </c>
      <c r="N13" s="442"/>
      <c r="O13" s="443"/>
      <c r="P13" s="441"/>
    </row>
    <row r="14" spans="1:46" ht="13.8">
      <c r="B14" s="399" t="s">
        <v>0</v>
      </c>
      <c r="C14" s="400" t="s">
        <v>0</v>
      </c>
      <c r="D14" s="421">
        <v>1</v>
      </c>
      <c r="E14" s="421"/>
      <c r="F14" s="421"/>
      <c r="G14" s="426" t="s">
        <v>40</v>
      </c>
      <c r="H14" s="418"/>
      <c r="I14" s="435"/>
      <c r="J14" s="435"/>
      <c r="K14" s="435"/>
      <c r="L14" s="435"/>
      <c r="M14" s="402">
        <f>M15</f>
        <v>2250</v>
      </c>
    </row>
    <row r="15" spans="1:46" ht="41.4">
      <c r="B15" s="399" t="s">
        <v>4</v>
      </c>
      <c r="C15" s="403" t="s">
        <v>4</v>
      </c>
      <c r="D15" s="420" t="s">
        <v>41</v>
      </c>
      <c r="E15" s="399" t="s">
        <v>403</v>
      </c>
      <c r="F15" s="414">
        <v>4813</v>
      </c>
      <c r="G15" s="425" t="s">
        <v>386</v>
      </c>
      <c r="H15" s="414" t="s">
        <v>43</v>
      </c>
      <c r="I15" s="432">
        <v>8</v>
      </c>
      <c r="J15" s="434">
        <v>225</v>
      </c>
      <c r="K15" s="399" t="s">
        <v>362</v>
      </c>
      <c r="L15" s="432">
        <f>J15*1.25</f>
        <v>281.25</v>
      </c>
      <c r="M15" s="433">
        <f>I15*L15</f>
        <v>2250</v>
      </c>
    </row>
    <row r="16" spans="1:46" s="382" customFormat="1" ht="13.8" hidden="1">
      <c r="A16" s="417"/>
      <c r="B16" s="399"/>
      <c r="C16" s="403"/>
      <c r="D16" s="420" t="s">
        <v>44</v>
      </c>
      <c r="E16" s="399"/>
      <c r="F16" s="414"/>
      <c r="G16" s="425"/>
      <c r="H16" s="414"/>
      <c r="I16" s="432"/>
      <c r="J16" s="434"/>
      <c r="K16" s="399"/>
      <c r="L16" s="432"/>
      <c r="M16" s="433"/>
    </row>
    <row r="17" spans="1:15" ht="16.2" customHeight="1">
      <c r="B17" s="399" t="s">
        <v>0</v>
      </c>
      <c r="C17" s="400" t="s">
        <v>0</v>
      </c>
      <c r="D17" s="421">
        <v>2</v>
      </c>
      <c r="E17" s="421"/>
      <c r="F17" s="421"/>
      <c r="G17" s="426" t="s">
        <v>46</v>
      </c>
      <c r="H17" s="418"/>
      <c r="I17" s="435"/>
      <c r="J17" s="435"/>
      <c r="K17" s="435"/>
      <c r="L17" s="435"/>
      <c r="M17" s="402">
        <f>M19</f>
        <v>10533.352499999999</v>
      </c>
      <c r="O17" s="441"/>
    </row>
    <row r="18" spans="1:15" ht="41.4" hidden="1">
      <c r="D18" s="420" t="s">
        <v>47</v>
      </c>
      <c r="E18" s="420" t="s">
        <v>309</v>
      </c>
      <c r="F18" s="420">
        <v>97622</v>
      </c>
      <c r="G18" s="424" t="s">
        <v>48</v>
      </c>
      <c r="H18" s="416" t="s">
        <v>49</v>
      </c>
      <c r="I18" s="432"/>
      <c r="J18" s="432"/>
      <c r="K18" s="432"/>
      <c r="L18" s="432"/>
      <c r="M18" s="433"/>
    </row>
    <row r="19" spans="1:15" ht="30" customHeight="1">
      <c r="B19" s="399" t="s">
        <v>4</v>
      </c>
      <c r="C19" s="403" t="s">
        <v>4</v>
      </c>
      <c r="D19" s="420" t="s">
        <v>47</v>
      </c>
      <c r="E19" s="399" t="s">
        <v>304</v>
      </c>
      <c r="F19" s="414" t="s">
        <v>302</v>
      </c>
      <c r="G19" s="425" t="s">
        <v>51</v>
      </c>
      <c r="H19" s="414" t="s">
        <v>43</v>
      </c>
      <c r="I19" s="432">
        <f>'Orçamento Comparativo'!O13</f>
        <v>386.9</v>
      </c>
      <c r="J19" s="434">
        <v>21.78</v>
      </c>
      <c r="K19" s="399" t="s">
        <v>362</v>
      </c>
      <c r="L19" s="432">
        <f>J19*1.25</f>
        <v>27.225000000000001</v>
      </c>
      <c r="M19" s="433">
        <f>I19*L19</f>
        <v>10533.352499999999</v>
      </c>
      <c r="N19" s="518"/>
    </row>
    <row r="20" spans="1:15" ht="13.8" hidden="1">
      <c r="D20" s="419">
        <v>3</v>
      </c>
      <c r="E20" s="419"/>
      <c r="F20" s="419"/>
      <c r="G20" s="423" t="s">
        <v>52</v>
      </c>
      <c r="H20" s="419"/>
      <c r="I20" s="432">
        <f>'Orçamento Comparativo'!O14</f>
        <v>0</v>
      </c>
      <c r="J20" s="432"/>
      <c r="K20" s="432"/>
      <c r="L20" s="430"/>
      <c r="M20" s="431"/>
    </row>
    <row r="21" spans="1:15" ht="13.8" hidden="1">
      <c r="D21" s="421" t="s">
        <v>53</v>
      </c>
      <c r="E21" s="421"/>
      <c r="F21" s="421"/>
      <c r="G21" s="426" t="s">
        <v>54</v>
      </c>
      <c r="H21" s="421"/>
      <c r="I21" s="432">
        <f>'Orçamento Comparativo'!O15</f>
        <v>0</v>
      </c>
      <c r="J21" s="432"/>
      <c r="K21" s="432"/>
      <c r="L21" s="435"/>
      <c r="M21" s="402"/>
    </row>
    <row r="22" spans="1:15" ht="41.4" hidden="1">
      <c r="D22" s="420" t="s">
        <v>55</v>
      </c>
      <c r="E22" s="420" t="s">
        <v>309</v>
      </c>
      <c r="F22" s="420">
        <v>93358</v>
      </c>
      <c r="G22" s="424" t="s">
        <v>56</v>
      </c>
      <c r="H22" s="420" t="s">
        <v>49</v>
      </c>
      <c r="I22" s="432">
        <f>'Orçamento Comparativo'!O16</f>
        <v>0</v>
      </c>
      <c r="J22" s="432"/>
      <c r="K22" s="432"/>
      <c r="L22" s="432"/>
      <c r="M22" s="433"/>
    </row>
    <row r="23" spans="1:15" s="382" customFormat="1" ht="13.8" hidden="1">
      <c r="A23" s="417"/>
      <c r="B23" s="417"/>
      <c r="C23" s="417"/>
      <c r="D23" s="422" t="s">
        <v>57</v>
      </c>
      <c r="E23" s="422"/>
      <c r="F23" s="422"/>
      <c r="G23" s="427"/>
      <c r="H23" s="422"/>
      <c r="I23" s="432">
        <f>'Orçamento Comparativo'!O17</f>
        <v>0</v>
      </c>
      <c r="J23" s="432"/>
      <c r="K23" s="432"/>
      <c r="L23" s="436"/>
      <c r="M23" s="437"/>
    </row>
    <row r="24" spans="1:15" ht="41.4" hidden="1">
      <c r="D24" s="420" t="s">
        <v>60</v>
      </c>
      <c r="E24" s="420" t="s">
        <v>309</v>
      </c>
      <c r="F24" s="420">
        <v>96621</v>
      </c>
      <c r="G24" s="424" t="s">
        <v>61</v>
      </c>
      <c r="H24" s="420" t="s">
        <v>49</v>
      </c>
      <c r="I24" s="432">
        <f>'Orçamento Comparativo'!O18</f>
        <v>0</v>
      </c>
      <c r="J24" s="432"/>
      <c r="K24" s="432"/>
      <c r="L24" s="432"/>
      <c r="M24" s="433"/>
    </row>
    <row r="25" spans="1:15" ht="55.2" hidden="1">
      <c r="D25" s="420" t="s">
        <v>62</v>
      </c>
      <c r="E25" s="420" t="s">
        <v>309</v>
      </c>
      <c r="F25" s="420">
        <v>96533</v>
      </c>
      <c r="G25" s="424" t="s">
        <v>63</v>
      </c>
      <c r="H25" s="420" t="s">
        <v>43</v>
      </c>
      <c r="I25" s="432">
        <f>'Orçamento Comparativo'!O19</f>
        <v>0</v>
      </c>
      <c r="J25" s="432"/>
      <c r="K25" s="432"/>
      <c r="L25" s="432"/>
      <c r="M25" s="433"/>
    </row>
    <row r="26" spans="1:15" ht="41.4" hidden="1">
      <c r="D26" s="420" t="s">
        <v>64</v>
      </c>
      <c r="E26" s="420" t="s">
        <v>309</v>
      </c>
      <c r="F26" s="420">
        <v>96546</v>
      </c>
      <c r="G26" s="424" t="s">
        <v>65</v>
      </c>
      <c r="H26" s="420" t="s">
        <v>66</v>
      </c>
      <c r="I26" s="432">
        <f>'Orçamento Comparativo'!O20</f>
        <v>0</v>
      </c>
      <c r="J26" s="432"/>
      <c r="K26" s="432"/>
      <c r="L26" s="432"/>
      <c r="M26" s="433"/>
    </row>
    <row r="27" spans="1:15" ht="41.4" hidden="1">
      <c r="D27" s="420" t="s">
        <v>67</v>
      </c>
      <c r="E27" s="420" t="s">
        <v>309</v>
      </c>
      <c r="F27" s="420">
        <v>96543</v>
      </c>
      <c r="G27" s="424" t="s">
        <v>68</v>
      </c>
      <c r="H27" s="420" t="s">
        <v>66</v>
      </c>
      <c r="I27" s="432">
        <f>'Orçamento Comparativo'!O21</f>
        <v>0</v>
      </c>
      <c r="J27" s="432"/>
      <c r="K27" s="432"/>
      <c r="L27" s="432"/>
      <c r="M27" s="433"/>
    </row>
    <row r="28" spans="1:15" ht="55.2" hidden="1">
      <c r="D28" s="420" t="s">
        <v>69</v>
      </c>
      <c r="E28" s="420" t="s">
        <v>309</v>
      </c>
      <c r="F28" s="420">
        <v>96557</v>
      </c>
      <c r="G28" s="424" t="s">
        <v>70</v>
      </c>
      <c r="H28" s="420" t="s">
        <v>49</v>
      </c>
      <c r="I28" s="432">
        <f>'Orçamento Comparativo'!O22</f>
        <v>0</v>
      </c>
      <c r="J28" s="432"/>
      <c r="K28" s="432"/>
      <c r="L28" s="432"/>
      <c r="M28" s="433"/>
    </row>
    <row r="29" spans="1:15" ht="27.6" hidden="1">
      <c r="D29" s="420" t="s">
        <v>71</v>
      </c>
      <c r="E29" s="420" t="s">
        <v>309</v>
      </c>
      <c r="F29" s="420">
        <v>93382</v>
      </c>
      <c r="G29" s="424" t="s">
        <v>72</v>
      </c>
      <c r="H29" s="420" t="s">
        <v>49</v>
      </c>
      <c r="I29" s="432">
        <f>'Orçamento Comparativo'!O23</f>
        <v>0</v>
      </c>
      <c r="J29" s="432"/>
      <c r="K29" s="432"/>
      <c r="L29" s="432"/>
      <c r="M29" s="433"/>
    </row>
    <row r="30" spans="1:15" ht="13.8" hidden="1">
      <c r="D30" s="421" t="s">
        <v>73</v>
      </c>
      <c r="E30" s="421"/>
      <c r="F30" s="421"/>
      <c r="G30" s="426" t="s">
        <v>74</v>
      </c>
      <c r="H30" s="421"/>
      <c r="I30" s="432">
        <f>'Orçamento Comparativo'!O24</f>
        <v>0</v>
      </c>
      <c r="J30" s="432"/>
      <c r="K30" s="432"/>
      <c r="L30" s="435"/>
      <c r="M30" s="402"/>
    </row>
    <row r="31" spans="1:15" s="382" customFormat="1" ht="13.8" hidden="1">
      <c r="A31" s="417"/>
      <c r="B31" s="417"/>
      <c r="C31" s="417"/>
      <c r="D31" s="422" t="s">
        <v>75</v>
      </c>
      <c r="E31" s="422"/>
      <c r="F31" s="422"/>
      <c r="G31" s="427"/>
      <c r="H31" s="422"/>
      <c r="I31" s="432">
        <f>'Orçamento Comparativo'!O25</f>
        <v>0</v>
      </c>
      <c r="J31" s="432"/>
      <c r="K31" s="432"/>
      <c r="L31" s="436"/>
      <c r="M31" s="437"/>
    </row>
    <row r="32" spans="1:15" s="382" customFormat="1" ht="13.8" hidden="1">
      <c r="A32" s="417"/>
      <c r="B32" s="417"/>
      <c r="C32" s="417"/>
      <c r="D32" s="422" t="s">
        <v>77</v>
      </c>
      <c r="E32" s="422"/>
      <c r="F32" s="422"/>
      <c r="G32" s="427"/>
      <c r="H32" s="422"/>
      <c r="I32" s="432">
        <f>'Orçamento Comparativo'!O26</f>
        <v>0</v>
      </c>
      <c r="J32" s="432"/>
      <c r="K32" s="432"/>
      <c r="L32" s="436"/>
      <c r="M32" s="437"/>
    </row>
    <row r="33" spans="2:13" ht="13.8" hidden="1">
      <c r="D33" s="419">
        <v>4</v>
      </c>
      <c r="E33" s="419"/>
      <c r="F33" s="419"/>
      <c r="G33" s="423" t="s">
        <v>79</v>
      </c>
      <c r="H33" s="419"/>
      <c r="I33" s="432">
        <f>'Orçamento Comparativo'!O27</f>
        <v>0</v>
      </c>
      <c r="J33" s="432"/>
      <c r="K33" s="432"/>
      <c r="L33" s="430"/>
      <c r="M33" s="431"/>
    </row>
    <row r="34" spans="2:13" ht="82.8" hidden="1">
      <c r="D34" s="420" t="s">
        <v>80</v>
      </c>
      <c r="E34" s="420" t="s">
        <v>309</v>
      </c>
      <c r="F34" s="420">
        <v>87481</v>
      </c>
      <c r="G34" s="428" t="s">
        <v>81</v>
      </c>
      <c r="H34" s="420" t="s">
        <v>43</v>
      </c>
      <c r="I34" s="432">
        <f>'Orçamento Comparativo'!O28</f>
        <v>56.66</v>
      </c>
      <c r="J34" s="432"/>
      <c r="K34" s="432"/>
      <c r="L34" s="432"/>
      <c r="M34" s="433"/>
    </row>
    <row r="35" spans="2:13" ht="13.8" hidden="1">
      <c r="D35" s="419">
        <v>5</v>
      </c>
      <c r="E35" s="419"/>
      <c r="F35" s="419"/>
      <c r="G35" s="423" t="s">
        <v>82</v>
      </c>
      <c r="H35" s="419"/>
      <c r="I35" s="432">
        <f>'Orçamento Comparativo'!O29</f>
        <v>0</v>
      </c>
      <c r="J35" s="432"/>
      <c r="K35" s="432"/>
      <c r="L35" s="430"/>
      <c r="M35" s="431"/>
    </row>
    <row r="36" spans="2:13" ht="41.4" hidden="1">
      <c r="D36" s="420" t="s">
        <v>83</v>
      </c>
      <c r="E36" s="420" t="s">
        <v>304</v>
      </c>
      <c r="F36" s="420" t="s">
        <v>327</v>
      </c>
      <c r="G36" s="424" t="s">
        <v>84</v>
      </c>
      <c r="H36" s="420" t="s">
        <v>43</v>
      </c>
      <c r="I36" s="432">
        <f>'Orçamento Comparativo'!O30</f>
        <v>0</v>
      </c>
      <c r="J36" s="432"/>
      <c r="K36" s="432"/>
      <c r="L36" s="432"/>
      <c r="M36" s="433"/>
    </row>
    <row r="37" spans="2:13" ht="41.4" hidden="1">
      <c r="D37" s="420" t="s">
        <v>85</v>
      </c>
      <c r="E37" s="420" t="s">
        <v>304</v>
      </c>
      <c r="F37" s="420" t="s">
        <v>328</v>
      </c>
      <c r="G37" s="424" t="s">
        <v>86</v>
      </c>
      <c r="H37" s="420" t="s">
        <v>43</v>
      </c>
      <c r="I37" s="432">
        <f>'Orçamento Comparativo'!O31</f>
        <v>0</v>
      </c>
      <c r="J37" s="432"/>
      <c r="K37" s="432"/>
      <c r="L37" s="432"/>
      <c r="M37" s="433"/>
    </row>
    <row r="38" spans="2:13" ht="27.6" hidden="1">
      <c r="D38" s="420" t="s">
        <v>87</v>
      </c>
      <c r="E38" s="420" t="s">
        <v>304</v>
      </c>
      <c r="F38" s="420" t="s">
        <v>329</v>
      </c>
      <c r="G38" s="424" t="s">
        <v>88</v>
      </c>
      <c r="H38" s="420" t="s">
        <v>43</v>
      </c>
      <c r="I38" s="432">
        <f>'Orçamento Comparativo'!O32</f>
        <v>0</v>
      </c>
      <c r="J38" s="432"/>
      <c r="K38" s="432"/>
      <c r="L38" s="432"/>
      <c r="M38" s="433"/>
    </row>
    <row r="39" spans="2:13" ht="27.6" hidden="1">
      <c r="D39" s="420" t="s">
        <v>89</v>
      </c>
      <c r="E39" s="420" t="s">
        <v>309</v>
      </c>
      <c r="F39" s="420">
        <v>97644</v>
      </c>
      <c r="G39" s="424" t="s">
        <v>90</v>
      </c>
      <c r="H39" s="420" t="s">
        <v>43</v>
      </c>
      <c r="I39" s="432">
        <f>'Orçamento Comparativo'!O33</f>
        <v>0</v>
      </c>
      <c r="J39" s="432"/>
      <c r="K39" s="432"/>
      <c r="L39" s="432"/>
      <c r="M39" s="433"/>
    </row>
    <row r="40" spans="2:13" ht="96.6" hidden="1">
      <c r="D40" s="420" t="s">
        <v>91</v>
      </c>
      <c r="E40" s="420" t="s">
        <v>309</v>
      </c>
      <c r="F40" s="420">
        <v>90844</v>
      </c>
      <c r="G40" s="424" t="s">
        <v>92</v>
      </c>
      <c r="H40" s="420" t="s">
        <v>93</v>
      </c>
      <c r="I40" s="432">
        <f>'Orçamento Comparativo'!O34</f>
        <v>0</v>
      </c>
      <c r="J40" s="432"/>
      <c r="K40" s="432"/>
      <c r="L40" s="432"/>
      <c r="M40" s="433"/>
    </row>
    <row r="41" spans="2:13" ht="13.8" hidden="1">
      <c r="D41" s="419">
        <v>6</v>
      </c>
      <c r="E41" s="419"/>
      <c r="F41" s="419"/>
      <c r="G41" s="423" t="s">
        <v>94</v>
      </c>
      <c r="H41" s="419"/>
      <c r="I41" s="432">
        <f>'Orçamento Comparativo'!O35</f>
        <v>0</v>
      </c>
      <c r="J41" s="432"/>
      <c r="K41" s="432"/>
      <c r="L41" s="430"/>
      <c r="M41" s="431"/>
    </row>
    <row r="42" spans="2:13" ht="27.6" hidden="1">
      <c r="D42" s="420" t="s">
        <v>95</v>
      </c>
      <c r="E42" s="420" t="s">
        <v>304</v>
      </c>
      <c r="F42" s="420" t="s">
        <v>330</v>
      </c>
      <c r="G42" s="424" t="s">
        <v>96</v>
      </c>
      <c r="H42" s="420" t="s">
        <v>43</v>
      </c>
      <c r="I42" s="432">
        <f>'Orçamento Comparativo'!O36</f>
        <v>0</v>
      </c>
      <c r="J42" s="432"/>
      <c r="K42" s="432"/>
      <c r="L42" s="432"/>
      <c r="M42" s="433"/>
    </row>
    <row r="43" spans="2:13" ht="41.4" hidden="1">
      <c r="D43" s="420" t="s">
        <v>97</v>
      </c>
      <c r="E43" s="420" t="s">
        <v>309</v>
      </c>
      <c r="F43" s="420">
        <v>96112</v>
      </c>
      <c r="G43" s="424" t="s">
        <v>98</v>
      </c>
      <c r="H43" s="420" t="s">
        <v>43</v>
      </c>
      <c r="I43" s="432">
        <f>'Orçamento Comparativo'!O37</f>
        <v>0</v>
      </c>
      <c r="J43" s="432"/>
      <c r="K43" s="432"/>
      <c r="L43" s="432"/>
      <c r="M43" s="433"/>
    </row>
    <row r="44" spans="2:13" ht="27.6" hidden="1">
      <c r="D44" s="420" t="s">
        <v>99</v>
      </c>
      <c r="E44" s="420" t="s">
        <v>309</v>
      </c>
      <c r="F44" s="420">
        <v>96122</v>
      </c>
      <c r="G44" s="424" t="s">
        <v>100</v>
      </c>
      <c r="H44" s="420" t="s">
        <v>59</v>
      </c>
      <c r="I44" s="432">
        <f>'Orçamento Comparativo'!O38</f>
        <v>0</v>
      </c>
      <c r="J44" s="432"/>
      <c r="K44" s="432"/>
      <c r="L44" s="432"/>
      <c r="M44" s="433"/>
    </row>
    <row r="45" spans="2:13" ht="15" customHeight="1">
      <c r="B45" s="399" t="s">
        <v>0</v>
      </c>
      <c r="C45" s="400" t="s">
        <v>0</v>
      </c>
      <c r="D45" s="421">
        <v>3</v>
      </c>
      <c r="E45" s="421"/>
      <c r="F45" s="421"/>
      <c r="G45" s="426" t="s">
        <v>101</v>
      </c>
      <c r="H45" s="421"/>
      <c r="I45" s="401"/>
      <c r="J45" s="401"/>
      <c r="K45" s="401"/>
      <c r="L45" s="435"/>
      <c r="M45" s="402">
        <f>M49+M52</f>
        <v>3249.1625000000004</v>
      </c>
    </row>
    <row r="46" spans="2:13" ht="13.8" hidden="1">
      <c r="D46" s="421" t="s">
        <v>102</v>
      </c>
      <c r="E46" s="421"/>
      <c r="F46" s="421"/>
      <c r="G46" s="426" t="s">
        <v>103</v>
      </c>
      <c r="H46" s="421"/>
      <c r="I46" s="401"/>
      <c r="J46" s="401"/>
      <c r="K46" s="401"/>
      <c r="L46" s="435"/>
      <c r="M46" s="402"/>
    </row>
    <row r="47" spans="2:13" ht="41.4" hidden="1">
      <c r="D47" s="420" t="s">
        <v>104</v>
      </c>
      <c r="E47" s="420" t="s">
        <v>304</v>
      </c>
      <c r="F47" s="420" t="s">
        <v>331</v>
      </c>
      <c r="G47" s="424" t="s">
        <v>105</v>
      </c>
      <c r="H47" s="420" t="s">
        <v>93</v>
      </c>
      <c r="I47" s="432">
        <f>'Orçamento Comparativo'!O41</f>
        <v>0</v>
      </c>
      <c r="J47" s="432"/>
      <c r="K47" s="432"/>
      <c r="L47" s="432"/>
      <c r="M47" s="433"/>
    </row>
    <row r="48" spans="2:13" ht="55.2" hidden="1">
      <c r="D48" s="420" t="s">
        <v>106</v>
      </c>
      <c r="E48" s="420" t="s">
        <v>304</v>
      </c>
      <c r="F48" s="420" t="s">
        <v>332</v>
      </c>
      <c r="G48" s="424" t="s">
        <v>107</v>
      </c>
      <c r="H48" s="420" t="s">
        <v>93</v>
      </c>
      <c r="I48" s="432">
        <f>'Orçamento Comparativo'!O42</f>
        <v>0</v>
      </c>
      <c r="J48" s="432"/>
      <c r="K48" s="432"/>
      <c r="L48" s="432"/>
      <c r="M48" s="433"/>
    </row>
    <row r="49" spans="1:14" ht="16.2" customHeight="1">
      <c r="B49" s="399" t="s">
        <v>4</v>
      </c>
      <c r="C49" s="403" t="s">
        <v>4</v>
      </c>
      <c r="D49" s="420" t="s">
        <v>53</v>
      </c>
      <c r="E49" s="399" t="s">
        <v>304</v>
      </c>
      <c r="F49" s="414" t="s">
        <v>305</v>
      </c>
      <c r="G49" s="425" t="s">
        <v>109</v>
      </c>
      <c r="H49" s="414" t="s">
        <v>93</v>
      </c>
      <c r="I49" s="432">
        <f>'Orçamento Comparativo'!O44</f>
        <v>1</v>
      </c>
      <c r="J49" s="434">
        <v>55.55</v>
      </c>
      <c r="K49" s="399" t="s">
        <v>362</v>
      </c>
      <c r="L49" s="432">
        <f>J49*1.25</f>
        <v>69.4375</v>
      </c>
      <c r="M49" s="433">
        <f>I49*L49</f>
        <v>69.4375</v>
      </c>
      <c r="N49" s="518"/>
    </row>
    <row r="50" spans="1:14" ht="41.4" hidden="1">
      <c r="D50" s="420" t="s">
        <v>110</v>
      </c>
      <c r="E50" s="420" t="s">
        <v>304</v>
      </c>
      <c r="F50" s="414" t="s">
        <v>333</v>
      </c>
      <c r="G50" s="425" t="s">
        <v>111</v>
      </c>
      <c r="H50" s="414" t="s">
        <v>93</v>
      </c>
      <c r="I50" s="432">
        <f>'Orçamento Comparativo'!O45</f>
        <v>0</v>
      </c>
      <c r="J50" s="434"/>
      <c r="K50" s="399" t="s">
        <v>362</v>
      </c>
      <c r="L50" s="432">
        <f>'Orçamento Comparativo'!N45</f>
        <v>1418.8</v>
      </c>
      <c r="M50" s="433"/>
    </row>
    <row r="51" spans="1:14" ht="27.6" hidden="1">
      <c r="D51" s="420" t="s">
        <v>112</v>
      </c>
      <c r="E51" s="420" t="s">
        <v>309</v>
      </c>
      <c r="F51" s="414">
        <v>97663</v>
      </c>
      <c r="G51" s="425" t="s">
        <v>113</v>
      </c>
      <c r="H51" s="414" t="s">
        <v>93</v>
      </c>
      <c r="I51" s="432">
        <f>'Orçamento Comparativo'!O46</f>
        <v>0</v>
      </c>
      <c r="J51" s="434"/>
      <c r="K51" s="399" t="s">
        <v>362</v>
      </c>
      <c r="L51" s="432">
        <f>'Orçamento Comparativo'!N46</f>
        <v>15.0375</v>
      </c>
      <c r="M51" s="433"/>
    </row>
    <row r="52" spans="1:14" ht="61.2" customHeight="1">
      <c r="B52" s="399" t="s">
        <v>4</v>
      </c>
      <c r="C52" s="403" t="s">
        <v>4</v>
      </c>
      <c r="D52" s="420" t="s">
        <v>73</v>
      </c>
      <c r="E52" s="399" t="s">
        <v>304</v>
      </c>
      <c r="F52" s="414" t="s">
        <v>306</v>
      </c>
      <c r="G52" s="425" t="s">
        <v>363</v>
      </c>
      <c r="H52" s="414" t="s">
        <v>93</v>
      </c>
      <c r="I52" s="432">
        <f>'Orçamento Comparativo'!O47</f>
        <v>2</v>
      </c>
      <c r="J52" s="434">
        <v>1271.8900000000001</v>
      </c>
      <c r="K52" s="399" t="s">
        <v>362</v>
      </c>
      <c r="L52" s="432">
        <f>J52*1.25</f>
        <v>1589.8625000000002</v>
      </c>
      <c r="M52" s="433">
        <f>I52*L52</f>
        <v>3179.7250000000004</v>
      </c>
      <c r="N52" s="518"/>
    </row>
    <row r="53" spans="1:14" ht="13.8" customHeight="1">
      <c r="B53" s="399" t="s">
        <v>0</v>
      </c>
      <c r="C53" s="400" t="s">
        <v>0</v>
      </c>
      <c r="D53" s="421">
        <v>4</v>
      </c>
      <c r="E53" s="421"/>
      <c r="F53" s="421"/>
      <c r="G53" s="426" t="s">
        <v>116</v>
      </c>
      <c r="H53" s="421"/>
      <c r="I53" s="401"/>
      <c r="J53" s="401"/>
      <c r="K53" s="401"/>
      <c r="L53" s="435"/>
      <c r="M53" s="402">
        <f>M54+M59</f>
        <v>7854.6487499999994</v>
      </c>
    </row>
    <row r="54" spans="1:14" ht="15" customHeight="1">
      <c r="B54" s="399" t="s">
        <v>352</v>
      </c>
      <c r="C54" s="400" t="s">
        <v>352</v>
      </c>
      <c r="D54" s="421" t="s">
        <v>80</v>
      </c>
      <c r="E54" s="421"/>
      <c r="F54" s="421"/>
      <c r="G54" s="426" t="s">
        <v>118</v>
      </c>
      <c r="H54" s="421"/>
      <c r="I54" s="401"/>
      <c r="J54" s="401"/>
      <c r="K54" s="401"/>
      <c r="L54" s="435"/>
      <c r="M54" s="402">
        <f>M55+M56</f>
        <v>7318.3987499999994</v>
      </c>
    </row>
    <row r="55" spans="1:14" ht="60.6" customHeight="1">
      <c r="B55" s="399" t="s">
        <v>4</v>
      </c>
      <c r="C55" s="403" t="s">
        <v>4</v>
      </c>
      <c r="D55" s="420" t="s">
        <v>387</v>
      </c>
      <c r="E55" s="399" t="s">
        <v>309</v>
      </c>
      <c r="F55" s="414">
        <v>87878</v>
      </c>
      <c r="G55" s="425" t="s">
        <v>120</v>
      </c>
      <c r="H55" s="414" t="s">
        <v>43</v>
      </c>
      <c r="I55" s="432">
        <f>'Orçamento Comparativo'!O50</f>
        <v>147.66</v>
      </c>
      <c r="J55" s="434">
        <v>4.24</v>
      </c>
      <c r="K55" s="399" t="s">
        <v>362</v>
      </c>
      <c r="L55" s="432">
        <f>J55*1.25</f>
        <v>5.3000000000000007</v>
      </c>
      <c r="M55" s="433">
        <f>I55*L55</f>
        <v>782.59800000000007</v>
      </c>
    </row>
    <row r="56" spans="1:14" ht="90.6" customHeight="1">
      <c r="B56" s="399" t="s">
        <v>4</v>
      </c>
      <c r="C56" s="403" t="s">
        <v>4</v>
      </c>
      <c r="D56" s="420" t="s">
        <v>388</v>
      </c>
      <c r="E56" s="399" t="s">
        <v>309</v>
      </c>
      <c r="F56" s="414">
        <v>87530</v>
      </c>
      <c r="G56" s="425" t="s">
        <v>122</v>
      </c>
      <c r="H56" s="414" t="s">
        <v>43</v>
      </c>
      <c r="I56" s="432">
        <f>'Orçamento Comparativo'!O51</f>
        <v>147.66</v>
      </c>
      <c r="J56" s="434">
        <v>35.409999999999997</v>
      </c>
      <c r="K56" s="399" t="s">
        <v>362</v>
      </c>
      <c r="L56" s="432">
        <f>J56*1.25</f>
        <v>44.262499999999996</v>
      </c>
      <c r="M56" s="433">
        <f>I56*L56</f>
        <v>6535.8007499999994</v>
      </c>
    </row>
    <row r="57" spans="1:14" ht="21" hidden="1" customHeight="1">
      <c r="B57" s="447"/>
      <c r="C57" s="447"/>
      <c r="D57" s="447"/>
      <c r="E57" s="447"/>
      <c r="F57" s="447"/>
      <c r="G57" s="448"/>
      <c r="H57" s="447"/>
      <c r="I57" s="449"/>
      <c r="J57" s="449"/>
      <c r="K57" s="447"/>
      <c r="L57" s="449"/>
      <c r="M57" s="450"/>
    </row>
    <row r="58" spans="1:14" s="458" customFormat="1" ht="21" customHeight="1">
      <c r="A58" s="457"/>
      <c r="B58" s="229"/>
      <c r="C58" s="229"/>
      <c r="D58" s="229"/>
      <c r="E58" s="229"/>
      <c r="F58" s="229"/>
      <c r="G58" s="459"/>
      <c r="H58" s="229"/>
      <c r="I58" s="460"/>
      <c r="J58" s="460"/>
      <c r="K58" s="229"/>
      <c r="L58" s="460"/>
      <c r="M58" s="461"/>
    </row>
    <row r="59" spans="1:14" ht="18" customHeight="1">
      <c r="B59" s="446" t="s">
        <v>352</v>
      </c>
      <c r="C59" s="451" t="s">
        <v>352</v>
      </c>
      <c r="D59" s="452" t="s">
        <v>337</v>
      </c>
      <c r="E59" s="452"/>
      <c r="F59" s="452"/>
      <c r="G59" s="453" t="s">
        <v>124</v>
      </c>
      <c r="H59" s="452"/>
      <c r="I59" s="454"/>
      <c r="J59" s="454"/>
      <c r="K59" s="454"/>
      <c r="L59" s="455"/>
      <c r="M59" s="456">
        <f>M63+M64</f>
        <v>536.25</v>
      </c>
    </row>
    <row r="60" spans="1:14" ht="55.2" hidden="1">
      <c r="D60" s="420" t="s">
        <v>125</v>
      </c>
      <c r="E60" s="420" t="s">
        <v>309</v>
      </c>
      <c r="F60" s="414">
        <v>87633</v>
      </c>
      <c r="G60" s="425" t="s">
        <v>126</v>
      </c>
      <c r="H60" s="414" t="s">
        <v>43</v>
      </c>
      <c r="I60" s="432">
        <f>'Orçamento Comparativo'!O53</f>
        <v>0</v>
      </c>
      <c r="J60" s="432"/>
      <c r="K60" s="432"/>
      <c r="L60" s="432"/>
      <c r="M60" s="433"/>
    </row>
    <row r="61" spans="1:14" ht="41.4" hidden="1">
      <c r="D61" s="420" t="s">
        <v>127</v>
      </c>
      <c r="E61" s="420" t="s">
        <v>309</v>
      </c>
      <c r="F61" s="414">
        <v>97631</v>
      </c>
      <c r="G61" s="425" t="s">
        <v>128</v>
      </c>
      <c r="H61" s="414" t="s">
        <v>43</v>
      </c>
      <c r="I61" s="432">
        <f>'Orçamento Comparativo'!O54</f>
        <v>0</v>
      </c>
      <c r="J61" s="432"/>
      <c r="K61" s="432"/>
      <c r="L61" s="432"/>
      <c r="M61" s="433"/>
    </row>
    <row r="62" spans="1:14" ht="41.4" hidden="1">
      <c r="D62" s="420" t="s">
        <v>129</v>
      </c>
      <c r="E62" s="420" t="s">
        <v>309</v>
      </c>
      <c r="F62" s="414">
        <v>97633</v>
      </c>
      <c r="G62" s="425" t="s">
        <v>130</v>
      </c>
      <c r="H62" s="414" t="s">
        <v>43</v>
      </c>
      <c r="I62" s="432">
        <f>'Orçamento Comparativo'!O55</f>
        <v>0</v>
      </c>
      <c r="J62" s="432"/>
      <c r="K62" s="432"/>
      <c r="L62" s="432"/>
      <c r="M62" s="433"/>
    </row>
    <row r="63" spans="1:14" ht="58.8" customHeight="1">
      <c r="B63" s="399" t="s">
        <v>4</v>
      </c>
      <c r="C63" s="403" t="s">
        <v>4</v>
      </c>
      <c r="D63" s="420" t="s">
        <v>389</v>
      </c>
      <c r="E63" s="399" t="s">
        <v>309</v>
      </c>
      <c r="F63" s="414">
        <v>96467</v>
      </c>
      <c r="G63" s="425" t="s">
        <v>132</v>
      </c>
      <c r="H63" s="414" t="s">
        <v>59</v>
      </c>
      <c r="I63" s="432">
        <f>'Orçamento Comparativo'!O56</f>
        <v>50</v>
      </c>
      <c r="J63" s="434">
        <v>6.04</v>
      </c>
      <c r="K63" s="399" t="s">
        <v>362</v>
      </c>
      <c r="L63" s="432">
        <f>J63*1.25</f>
        <v>7.55</v>
      </c>
      <c r="M63" s="433">
        <f>I63*L63</f>
        <v>377.5</v>
      </c>
    </row>
    <row r="64" spans="1:14" ht="31.2" customHeight="1">
      <c r="B64" s="399" t="s">
        <v>4</v>
      </c>
      <c r="C64" s="403" t="s">
        <v>4</v>
      </c>
      <c r="D64" s="420" t="s">
        <v>390</v>
      </c>
      <c r="E64" s="399" t="s">
        <v>309</v>
      </c>
      <c r="F64" s="414">
        <v>97632</v>
      </c>
      <c r="G64" s="425" t="s">
        <v>134</v>
      </c>
      <c r="H64" s="414" t="s">
        <v>59</v>
      </c>
      <c r="I64" s="432">
        <f>'Orçamento Comparativo'!O57</f>
        <v>50</v>
      </c>
      <c r="J64" s="434">
        <f>'Orçamento Comparativo'!M57</f>
        <v>2.54</v>
      </c>
      <c r="K64" s="399" t="s">
        <v>362</v>
      </c>
      <c r="L64" s="432">
        <f>J64*1.25</f>
        <v>3.1749999999999998</v>
      </c>
      <c r="M64" s="433">
        <f>I64*L64</f>
        <v>158.75</v>
      </c>
    </row>
    <row r="65" spans="1:14" ht="69" hidden="1">
      <c r="D65" s="420" t="s">
        <v>135</v>
      </c>
      <c r="E65" s="420" t="s">
        <v>309</v>
      </c>
      <c r="F65" s="420">
        <v>87248</v>
      </c>
      <c r="G65" s="424" t="s">
        <v>136</v>
      </c>
      <c r="H65" s="420" t="s">
        <v>43</v>
      </c>
      <c r="I65" s="432">
        <f>'Orçamento Comparativo'!O58</f>
        <v>0</v>
      </c>
      <c r="J65" s="432"/>
      <c r="K65" s="432"/>
      <c r="L65" s="432"/>
      <c r="M65" s="433"/>
    </row>
    <row r="66" spans="1:14" ht="16.2" customHeight="1">
      <c r="B66" s="399" t="s">
        <v>0</v>
      </c>
      <c r="C66" s="400" t="s">
        <v>0</v>
      </c>
      <c r="D66" s="421">
        <v>5</v>
      </c>
      <c r="E66" s="421"/>
      <c r="F66" s="421"/>
      <c r="G66" s="426" t="s">
        <v>137</v>
      </c>
      <c r="H66" s="421"/>
      <c r="I66" s="401"/>
      <c r="J66" s="401"/>
      <c r="K66" s="401"/>
      <c r="L66" s="435"/>
      <c r="M66" s="402">
        <f>M68+M69</f>
        <v>2562.7495000000004</v>
      </c>
    </row>
    <row r="67" spans="1:14" ht="41.4" hidden="1">
      <c r="D67" s="420" t="s">
        <v>138</v>
      </c>
      <c r="E67" s="420" t="s">
        <v>309</v>
      </c>
      <c r="F67" s="420">
        <v>96135</v>
      </c>
      <c r="G67" s="424" t="s">
        <v>139</v>
      </c>
      <c r="H67" s="420" t="s">
        <v>43</v>
      </c>
      <c r="I67" s="432">
        <f>'Orçamento Comparativo'!O60</f>
        <v>0</v>
      </c>
      <c r="J67" s="432"/>
      <c r="K67" s="432"/>
      <c r="L67" s="432"/>
      <c r="M67" s="433"/>
    </row>
    <row r="68" spans="1:14" ht="44.4" customHeight="1">
      <c r="B68" s="399" t="s">
        <v>4</v>
      </c>
      <c r="C68" s="403" t="s">
        <v>4</v>
      </c>
      <c r="D68" s="420" t="s">
        <v>83</v>
      </c>
      <c r="E68" s="399" t="s">
        <v>309</v>
      </c>
      <c r="F68" s="414">
        <v>88489</v>
      </c>
      <c r="G68" s="425" t="s">
        <v>141</v>
      </c>
      <c r="H68" s="414" t="s">
        <v>43</v>
      </c>
      <c r="I68" s="432">
        <f>'Orçamento Comparativo'!O61-88.72</f>
        <v>131.30000000000001</v>
      </c>
      <c r="J68" s="434">
        <v>14.98</v>
      </c>
      <c r="K68" s="399" t="s">
        <v>362</v>
      </c>
      <c r="L68" s="432">
        <f>J68*1.25</f>
        <v>18.725000000000001</v>
      </c>
      <c r="M68" s="433">
        <f>I68*L68</f>
        <v>2458.5925000000002</v>
      </c>
    </row>
    <row r="69" spans="1:14" ht="45" customHeight="1">
      <c r="B69" s="399" t="s">
        <v>4</v>
      </c>
      <c r="C69" s="403" t="s">
        <v>4</v>
      </c>
      <c r="D69" s="420" t="s">
        <v>85</v>
      </c>
      <c r="E69" s="399" t="s">
        <v>309</v>
      </c>
      <c r="F69" s="414">
        <v>102213</v>
      </c>
      <c r="G69" s="429" t="s">
        <v>310</v>
      </c>
      <c r="H69" s="414" t="s">
        <v>43</v>
      </c>
      <c r="I69" s="432">
        <f>'Orçamento Comparativo'!O62</f>
        <v>4.26</v>
      </c>
      <c r="J69" s="434">
        <v>19.559999999999999</v>
      </c>
      <c r="K69" s="399" t="s">
        <v>362</v>
      </c>
      <c r="L69" s="432">
        <f>J69*1.25</f>
        <v>24.45</v>
      </c>
      <c r="M69" s="433">
        <f>I69*L69</f>
        <v>104.157</v>
      </c>
    </row>
    <row r="70" spans="1:14" s="382" customFormat="1" ht="13.8" hidden="1">
      <c r="A70" s="417"/>
      <c r="B70" s="417"/>
      <c r="C70" s="417"/>
      <c r="D70" s="422" t="s">
        <v>144</v>
      </c>
      <c r="E70" s="422"/>
      <c r="F70" s="422"/>
      <c r="G70" s="427"/>
      <c r="H70" s="422"/>
      <c r="I70" s="432">
        <f>'Orçamento Comparativo'!O63</f>
        <v>0</v>
      </c>
      <c r="J70" s="432"/>
      <c r="K70" s="432"/>
      <c r="L70" s="436"/>
      <c r="M70" s="437"/>
    </row>
    <row r="71" spans="1:14" ht="15" customHeight="1">
      <c r="B71" s="399" t="s">
        <v>0</v>
      </c>
      <c r="C71" s="400" t="s">
        <v>0</v>
      </c>
      <c r="D71" s="421">
        <v>6</v>
      </c>
      <c r="E71" s="421"/>
      <c r="F71" s="421"/>
      <c r="G71" s="426" t="s">
        <v>146</v>
      </c>
      <c r="H71" s="421"/>
      <c r="I71" s="401"/>
      <c r="J71" s="401"/>
      <c r="K71" s="401"/>
      <c r="L71" s="435"/>
      <c r="M71" s="402">
        <f>SUM(M72:M76)</f>
        <v>16054.125</v>
      </c>
    </row>
    <row r="72" spans="1:14" ht="15" customHeight="1">
      <c r="B72" s="399" t="s">
        <v>4</v>
      </c>
      <c r="C72" s="403" t="s">
        <v>4</v>
      </c>
      <c r="D72" s="420" t="s">
        <v>95</v>
      </c>
      <c r="E72" s="399" t="s">
        <v>304</v>
      </c>
      <c r="F72" s="414" t="s">
        <v>311</v>
      </c>
      <c r="G72" s="425" t="s">
        <v>148</v>
      </c>
      <c r="H72" s="414" t="s">
        <v>43</v>
      </c>
      <c r="I72" s="432">
        <f>'Orçamento Comparativo'!O65</f>
        <v>10</v>
      </c>
      <c r="J72" s="434">
        <v>206.31</v>
      </c>
      <c r="K72" s="399" t="s">
        <v>362</v>
      </c>
      <c r="L72" s="432">
        <f>J72*1.25</f>
        <v>257.88749999999999</v>
      </c>
      <c r="M72" s="433">
        <f>I72*L72</f>
        <v>2578.875</v>
      </c>
      <c r="N72" s="518"/>
    </row>
    <row r="73" spans="1:14" ht="15.6" customHeight="1">
      <c r="B73" s="399" t="s">
        <v>4</v>
      </c>
      <c r="C73" s="403" t="s">
        <v>4</v>
      </c>
      <c r="D73" s="420" t="s">
        <v>97</v>
      </c>
      <c r="E73" s="399" t="s">
        <v>304</v>
      </c>
      <c r="F73" s="414" t="s">
        <v>312</v>
      </c>
      <c r="G73" s="425" t="s">
        <v>150</v>
      </c>
      <c r="H73" s="414" t="s">
        <v>151</v>
      </c>
      <c r="I73" s="432">
        <f>'Orçamento Comparativo'!O66</f>
        <v>1</v>
      </c>
      <c r="J73" s="434">
        <v>4311.57</v>
      </c>
      <c r="K73" s="399" t="s">
        <v>362</v>
      </c>
      <c r="L73" s="432">
        <f t="shared" ref="L73:L88" si="0">J73*1.25</f>
        <v>5389.4624999999996</v>
      </c>
      <c r="M73" s="433">
        <f t="shared" ref="M73:M88" si="1">I73*L73</f>
        <v>5389.4624999999996</v>
      </c>
      <c r="N73" s="518"/>
    </row>
    <row r="74" spans="1:14" ht="18" customHeight="1">
      <c r="B74" s="399" t="s">
        <v>4</v>
      </c>
      <c r="C74" s="403" t="s">
        <v>4</v>
      </c>
      <c r="D74" s="420" t="s">
        <v>99</v>
      </c>
      <c r="E74" s="399" t="s">
        <v>304</v>
      </c>
      <c r="F74" s="414" t="s">
        <v>313</v>
      </c>
      <c r="G74" s="425" t="s">
        <v>153</v>
      </c>
      <c r="H74" s="414" t="s">
        <v>151</v>
      </c>
      <c r="I74" s="432">
        <f>'Orçamento Comparativo'!O67</f>
        <v>2</v>
      </c>
      <c r="J74" s="434">
        <v>1480.63</v>
      </c>
      <c r="K74" s="399" t="s">
        <v>362</v>
      </c>
      <c r="L74" s="432">
        <f t="shared" si="0"/>
        <v>1850.7875000000001</v>
      </c>
      <c r="M74" s="433">
        <f t="shared" si="1"/>
        <v>3701.5750000000003</v>
      </c>
      <c r="N74" s="518"/>
    </row>
    <row r="75" spans="1:14" ht="15" customHeight="1">
      <c r="B75" s="399" t="s">
        <v>4</v>
      </c>
      <c r="C75" s="403" t="s">
        <v>4</v>
      </c>
      <c r="D75" s="420" t="s">
        <v>338</v>
      </c>
      <c r="E75" s="399" t="s">
        <v>304</v>
      </c>
      <c r="F75" s="414" t="s">
        <v>314</v>
      </c>
      <c r="G75" s="425" t="s">
        <v>155</v>
      </c>
      <c r="H75" s="414" t="s">
        <v>151</v>
      </c>
      <c r="I75" s="432">
        <f>'Orçamento Comparativo'!O68</f>
        <v>2</v>
      </c>
      <c r="J75" s="434">
        <v>1086.8699999999999</v>
      </c>
      <c r="K75" s="399" t="s">
        <v>362</v>
      </c>
      <c r="L75" s="432">
        <f t="shared" si="0"/>
        <v>1358.5874999999999</v>
      </c>
      <c r="M75" s="433">
        <f t="shared" si="1"/>
        <v>2717.1749999999997</v>
      </c>
      <c r="N75" s="518"/>
    </row>
    <row r="76" spans="1:14" ht="29.4" customHeight="1">
      <c r="B76" s="399" t="s">
        <v>4</v>
      </c>
      <c r="C76" s="403" t="s">
        <v>4</v>
      </c>
      <c r="D76" s="420" t="s">
        <v>339</v>
      </c>
      <c r="E76" s="399" t="s">
        <v>304</v>
      </c>
      <c r="F76" s="414" t="s">
        <v>315</v>
      </c>
      <c r="G76" s="425" t="s">
        <v>157</v>
      </c>
      <c r="H76" s="414" t="s">
        <v>151</v>
      </c>
      <c r="I76" s="432">
        <f>'Orçamento Comparativo'!O69</f>
        <v>1</v>
      </c>
      <c r="J76" s="434">
        <v>1333.63</v>
      </c>
      <c r="K76" s="399" t="s">
        <v>362</v>
      </c>
      <c r="L76" s="432">
        <f t="shared" si="0"/>
        <v>1667.0375000000001</v>
      </c>
      <c r="M76" s="433">
        <f t="shared" si="1"/>
        <v>1667.0375000000001</v>
      </c>
      <c r="N76" s="518"/>
    </row>
    <row r="77" spans="1:14" ht="15" customHeight="1">
      <c r="B77" s="399" t="s">
        <v>0</v>
      </c>
      <c r="C77" s="400" t="s">
        <v>0</v>
      </c>
      <c r="D77" s="421">
        <v>7</v>
      </c>
      <c r="E77" s="421"/>
      <c r="F77" s="421"/>
      <c r="G77" s="426" t="s">
        <v>158</v>
      </c>
      <c r="H77" s="421"/>
      <c r="I77" s="401"/>
      <c r="J77" s="401"/>
      <c r="K77" s="401"/>
      <c r="L77" s="435"/>
      <c r="M77" s="402">
        <f>SUM(M78:M86)</f>
        <v>111349.7775</v>
      </c>
    </row>
    <row r="78" spans="1:14" ht="16.2" customHeight="1">
      <c r="B78" s="399" t="s">
        <v>4</v>
      </c>
      <c r="C78" s="403" t="s">
        <v>4</v>
      </c>
      <c r="D78" s="420" t="s">
        <v>102</v>
      </c>
      <c r="E78" s="399" t="s">
        <v>304</v>
      </c>
      <c r="F78" s="414" t="s">
        <v>316</v>
      </c>
      <c r="G78" s="425" t="s">
        <v>160</v>
      </c>
      <c r="H78" s="414" t="s">
        <v>43</v>
      </c>
      <c r="I78" s="432">
        <f>'Orçamento Comparativo'!O71</f>
        <v>386.9</v>
      </c>
      <c r="J78" s="434">
        <v>192.58</v>
      </c>
      <c r="K78" s="399" t="s">
        <v>362</v>
      </c>
      <c r="L78" s="432">
        <f t="shared" si="0"/>
        <v>240.72500000000002</v>
      </c>
      <c r="M78" s="433">
        <f t="shared" si="1"/>
        <v>93136.502500000002</v>
      </c>
      <c r="N78" s="518"/>
    </row>
    <row r="79" spans="1:14" ht="43.2" customHeight="1">
      <c r="B79" s="399" t="s">
        <v>4</v>
      </c>
      <c r="C79" s="403" t="s">
        <v>4</v>
      </c>
      <c r="D79" s="420" t="s">
        <v>391</v>
      </c>
      <c r="E79" s="399" t="s">
        <v>304</v>
      </c>
      <c r="F79" s="414" t="s">
        <v>317</v>
      </c>
      <c r="G79" s="425" t="s">
        <v>162</v>
      </c>
      <c r="H79" s="414" t="s">
        <v>93</v>
      </c>
      <c r="I79" s="432">
        <f>'Orçamento Comparativo'!O72</f>
        <v>8</v>
      </c>
      <c r="J79" s="434">
        <v>721.15</v>
      </c>
      <c r="K79" s="399" t="s">
        <v>362</v>
      </c>
      <c r="L79" s="432">
        <f t="shared" si="0"/>
        <v>901.4375</v>
      </c>
      <c r="M79" s="433">
        <f t="shared" si="1"/>
        <v>7211.5</v>
      </c>
      <c r="N79" s="518"/>
    </row>
    <row r="80" spans="1:14" ht="62.4" customHeight="1">
      <c r="B80" s="399" t="s">
        <v>4</v>
      </c>
      <c r="C80" s="403" t="s">
        <v>4</v>
      </c>
      <c r="D80" s="420" t="s">
        <v>392</v>
      </c>
      <c r="E80" s="399" t="s">
        <v>309</v>
      </c>
      <c r="F80" s="414">
        <v>91926</v>
      </c>
      <c r="G80" s="425" t="s">
        <v>164</v>
      </c>
      <c r="H80" s="414" t="s">
        <v>59</v>
      </c>
      <c r="I80" s="432">
        <f>'Orçamento Comparativo'!O73</f>
        <v>360</v>
      </c>
      <c r="J80" s="434">
        <f>'Orçamento Comparativo'!M73</f>
        <v>3.9</v>
      </c>
      <c r="K80" s="399" t="s">
        <v>362</v>
      </c>
      <c r="L80" s="432">
        <f t="shared" si="0"/>
        <v>4.875</v>
      </c>
      <c r="M80" s="433">
        <f t="shared" si="1"/>
        <v>1755</v>
      </c>
    </row>
    <row r="81" spans="1:14" ht="59.4" customHeight="1">
      <c r="B81" s="399" t="s">
        <v>4</v>
      </c>
      <c r="C81" s="403" t="s">
        <v>4</v>
      </c>
      <c r="D81" s="420" t="s">
        <v>393</v>
      </c>
      <c r="E81" s="399" t="s">
        <v>309</v>
      </c>
      <c r="F81" s="414">
        <v>91854</v>
      </c>
      <c r="G81" s="425" t="s">
        <v>166</v>
      </c>
      <c r="H81" s="414" t="s">
        <v>59</v>
      </c>
      <c r="I81" s="432">
        <f>'Orçamento Comparativo'!O74</f>
        <v>150</v>
      </c>
      <c r="J81" s="434">
        <v>8.67</v>
      </c>
      <c r="K81" s="399" t="s">
        <v>362</v>
      </c>
      <c r="L81" s="432">
        <f t="shared" si="0"/>
        <v>10.8375</v>
      </c>
      <c r="M81" s="433">
        <f t="shared" si="1"/>
        <v>1625.625</v>
      </c>
    </row>
    <row r="82" spans="1:14" ht="30" customHeight="1">
      <c r="B82" s="399" t="s">
        <v>4</v>
      </c>
      <c r="C82" s="403" t="s">
        <v>4</v>
      </c>
      <c r="D82" s="420" t="s">
        <v>394</v>
      </c>
      <c r="E82" s="399" t="s">
        <v>304</v>
      </c>
      <c r="F82" s="414" t="s">
        <v>318</v>
      </c>
      <c r="G82" s="425" t="s">
        <v>168</v>
      </c>
      <c r="H82" s="414" t="s">
        <v>93</v>
      </c>
      <c r="I82" s="432">
        <f>'Orçamento Comparativo'!O75</f>
        <v>9</v>
      </c>
      <c r="J82" s="434">
        <f>'Orçamento Comparativo'!M75</f>
        <v>24.88</v>
      </c>
      <c r="K82" s="399" t="s">
        <v>362</v>
      </c>
      <c r="L82" s="432">
        <f t="shared" si="0"/>
        <v>31.099999999999998</v>
      </c>
      <c r="M82" s="433">
        <f t="shared" si="1"/>
        <v>279.89999999999998</v>
      </c>
      <c r="N82" s="518"/>
    </row>
    <row r="83" spans="1:14" ht="28.2" customHeight="1">
      <c r="B83" s="399" t="s">
        <v>4</v>
      </c>
      <c r="C83" s="403" t="s">
        <v>4</v>
      </c>
      <c r="D83" s="420" t="s">
        <v>395</v>
      </c>
      <c r="E83" s="399" t="s">
        <v>304</v>
      </c>
      <c r="F83" s="414" t="s">
        <v>319</v>
      </c>
      <c r="G83" s="425" t="s">
        <v>170</v>
      </c>
      <c r="H83" s="414" t="s">
        <v>93</v>
      </c>
      <c r="I83" s="432">
        <f>'Orçamento Comparativo'!O76</f>
        <v>8</v>
      </c>
      <c r="J83" s="434">
        <v>584.54999999999995</v>
      </c>
      <c r="K83" s="399" t="s">
        <v>362</v>
      </c>
      <c r="L83" s="432">
        <f t="shared" si="0"/>
        <v>730.6875</v>
      </c>
      <c r="M83" s="433">
        <f t="shared" si="1"/>
        <v>5845.5</v>
      </c>
      <c r="N83" s="518"/>
    </row>
    <row r="84" spans="1:14" ht="30.6" customHeight="1">
      <c r="B84" s="399" t="s">
        <v>4</v>
      </c>
      <c r="C84" s="403" t="s">
        <v>4</v>
      </c>
      <c r="D84" s="420" t="s">
        <v>396</v>
      </c>
      <c r="E84" s="399" t="s">
        <v>304</v>
      </c>
      <c r="F84" s="414" t="s">
        <v>320</v>
      </c>
      <c r="G84" s="425" t="s">
        <v>172</v>
      </c>
      <c r="H84" s="414" t="s">
        <v>93</v>
      </c>
      <c r="I84" s="432">
        <f>'Orçamento Comparativo'!O77</f>
        <v>8</v>
      </c>
      <c r="J84" s="434">
        <f>'Orçamento Comparativo'!M77</f>
        <v>7.51</v>
      </c>
      <c r="K84" s="399" t="s">
        <v>362</v>
      </c>
      <c r="L84" s="432">
        <f t="shared" si="0"/>
        <v>9.3874999999999993</v>
      </c>
      <c r="M84" s="433">
        <f t="shared" si="1"/>
        <v>75.099999999999994</v>
      </c>
      <c r="N84" s="518"/>
    </row>
    <row r="85" spans="1:14" ht="28.2" customHeight="1">
      <c r="B85" s="399" t="s">
        <v>4</v>
      </c>
      <c r="C85" s="403" t="s">
        <v>4</v>
      </c>
      <c r="D85" s="420" t="s">
        <v>397</v>
      </c>
      <c r="E85" s="399" t="s">
        <v>304</v>
      </c>
      <c r="F85" s="414" t="s">
        <v>321</v>
      </c>
      <c r="G85" s="425" t="s">
        <v>174</v>
      </c>
      <c r="H85" s="414" t="s">
        <v>93</v>
      </c>
      <c r="I85" s="432">
        <f>'Orçamento Comparativo'!O78</f>
        <v>11</v>
      </c>
      <c r="J85" s="434">
        <v>30.51</v>
      </c>
      <c r="K85" s="399" t="s">
        <v>362</v>
      </c>
      <c r="L85" s="432">
        <f t="shared" si="0"/>
        <v>38.137500000000003</v>
      </c>
      <c r="M85" s="433">
        <f t="shared" si="1"/>
        <v>419.51250000000005</v>
      </c>
      <c r="N85" s="518"/>
    </row>
    <row r="86" spans="1:14" ht="44.4" customHeight="1">
      <c r="B86" s="399" t="s">
        <v>4</v>
      </c>
      <c r="C86" s="403" t="s">
        <v>4</v>
      </c>
      <c r="D86" s="420" t="s">
        <v>398</v>
      </c>
      <c r="E86" s="399" t="s">
        <v>304</v>
      </c>
      <c r="F86" s="414" t="s">
        <v>322</v>
      </c>
      <c r="G86" s="425" t="s">
        <v>176</v>
      </c>
      <c r="H86" s="414" t="s">
        <v>93</v>
      </c>
      <c r="I86" s="432">
        <f>'Orçamento Comparativo'!O79</f>
        <v>3</v>
      </c>
      <c r="J86" s="434">
        <v>266.97000000000003</v>
      </c>
      <c r="K86" s="399" t="s">
        <v>362</v>
      </c>
      <c r="L86" s="432">
        <f t="shared" si="0"/>
        <v>333.71250000000003</v>
      </c>
      <c r="M86" s="433">
        <f t="shared" si="1"/>
        <v>1001.1375</v>
      </c>
      <c r="N86" s="518"/>
    </row>
    <row r="87" spans="1:14" ht="16.2" customHeight="1">
      <c r="B87" s="399" t="s">
        <v>0</v>
      </c>
      <c r="C87" s="400" t="s">
        <v>0</v>
      </c>
      <c r="D87" s="421">
        <v>8</v>
      </c>
      <c r="E87" s="421"/>
      <c r="F87" s="421"/>
      <c r="G87" s="426" t="s">
        <v>177</v>
      </c>
      <c r="H87" s="421"/>
      <c r="I87" s="401"/>
      <c r="J87" s="401"/>
      <c r="K87" s="401"/>
      <c r="L87" s="435"/>
      <c r="M87" s="402">
        <f>M88</f>
        <v>31154.014999999996</v>
      </c>
    </row>
    <row r="88" spans="1:14" ht="85.8" customHeight="1">
      <c r="B88" s="399" t="s">
        <v>4</v>
      </c>
      <c r="C88" s="403" t="s">
        <v>4</v>
      </c>
      <c r="D88" s="420" t="s">
        <v>117</v>
      </c>
      <c r="E88" s="399" t="s">
        <v>309</v>
      </c>
      <c r="F88" s="414">
        <v>99837</v>
      </c>
      <c r="G88" s="425" t="s">
        <v>179</v>
      </c>
      <c r="H88" s="414" t="s">
        <v>59</v>
      </c>
      <c r="I88" s="432">
        <f>'Orçamento Comparativo'!O81</f>
        <v>35.299999999999997</v>
      </c>
      <c r="J88" s="434">
        <v>706.04</v>
      </c>
      <c r="K88" s="399" t="s">
        <v>362</v>
      </c>
      <c r="L88" s="432">
        <f t="shared" si="0"/>
        <v>882.55</v>
      </c>
      <c r="M88" s="433">
        <f t="shared" si="1"/>
        <v>31154.014999999996</v>
      </c>
    </row>
    <row r="89" spans="1:14" ht="14.4" hidden="1" customHeight="1">
      <c r="B89" s="399" t="s">
        <v>0</v>
      </c>
      <c r="C89" s="400" t="s">
        <v>0</v>
      </c>
      <c r="D89" s="421">
        <v>9</v>
      </c>
      <c r="E89" s="421"/>
      <c r="F89" s="421"/>
      <c r="G89" s="426" t="s">
        <v>180</v>
      </c>
      <c r="H89" s="421"/>
      <c r="I89" s="401"/>
      <c r="J89" s="401"/>
      <c r="K89" s="401"/>
      <c r="L89" s="435"/>
      <c r="M89" s="402">
        <f>M92</f>
        <v>0</v>
      </c>
    </row>
    <row r="90" spans="1:14" s="382" customFormat="1" ht="13.8" hidden="1">
      <c r="A90" s="417"/>
      <c r="B90" s="417"/>
      <c r="C90" s="417"/>
      <c r="D90" s="422" t="s">
        <v>181</v>
      </c>
      <c r="E90" s="422"/>
      <c r="F90" s="422"/>
      <c r="G90" s="427"/>
      <c r="H90" s="422"/>
      <c r="I90" s="432">
        <f>'Orçamento Comparativo'!O83</f>
        <v>0</v>
      </c>
      <c r="J90" s="432"/>
      <c r="K90" s="432"/>
      <c r="L90" s="436"/>
      <c r="M90" s="437"/>
    </row>
    <row r="91" spans="1:14" s="382" customFormat="1" ht="13.8" hidden="1">
      <c r="A91" s="417"/>
      <c r="B91" s="417"/>
      <c r="C91" s="417"/>
      <c r="D91" s="422" t="s">
        <v>183</v>
      </c>
      <c r="E91" s="422"/>
      <c r="F91" s="422"/>
      <c r="G91" s="427"/>
      <c r="H91" s="422"/>
      <c r="I91" s="432">
        <f>'Orçamento Comparativo'!O84</f>
        <v>0</v>
      </c>
      <c r="J91" s="432"/>
      <c r="K91" s="432"/>
      <c r="L91" s="436"/>
      <c r="M91" s="437"/>
    </row>
    <row r="92" spans="1:14" ht="19.2" hidden="1" customHeight="1">
      <c r="B92" s="399" t="s">
        <v>4</v>
      </c>
      <c r="C92" s="403" t="s">
        <v>4</v>
      </c>
      <c r="D92" s="420" t="s">
        <v>138</v>
      </c>
      <c r="E92" s="399" t="s">
        <v>304</v>
      </c>
      <c r="F92" s="414" t="s">
        <v>323</v>
      </c>
      <c r="G92" s="425" t="s">
        <v>186</v>
      </c>
      <c r="H92" s="414" t="s">
        <v>43</v>
      </c>
      <c r="I92" s="432">
        <f>'Orçamento Comparativo'!O85</f>
        <v>26</v>
      </c>
      <c r="J92" s="434"/>
      <c r="K92" s="399" t="s">
        <v>362</v>
      </c>
      <c r="L92" s="432">
        <f>J92*1.25</f>
        <v>0</v>
      </c>
      <c r="M92" s="433">
        <f>I92*L92</f>
        <v>0</v>
      </c>
    </row>
    <row r="93" spans="1:14" ht="13.8">
      <c r="F93" s="227"/>
    </row>
    <row r="94" spans="1:14" ht="15.6">
      <c r="D94" s="384" t="s">
        <v>353</v>
      </c>
      <c r="E94" s="384"/>
      <c r="F94" s="411" t="s">
        <v>354</v>
      </c>
      <c r="G94" s="412"/>
      <c r="H94" s="412"/>
      <c r="I94" s="412"/>
      <c r="J94" s="412"/>
      <c r="K94" s="412"/>
      <c r="L94" s="412"/>
      <c r="M94" s="412"/>
      <c r="N94" s="413"/>
    </row>
    <row r="95" spans="1:14">
      <c r="N95" s="404"/>
    </row>
    <row r="96" spans="1:14" ht="15.6">
      <c r="D96" s="405" t="s">
        <v>355</v>
      </c>
      <c r="N96" s="404"/>
    </row>
    <row r="97" spans="4:14" ht="15.6">
      <c r="D97" s="406"/>
      <c r="N97" s="404"/>
    </row>
    <row r="98" spans="4:14" ht="15.6">
      <c r="D98" s="406"/>
      <c r="N98" s="404"/>
    </row>
    <row r="99" spans="4:14" ht="15.6">
      <c r="D99" s="406"/>
      <c r="N99" s="404"/>
    </row>
    <row r="100" spans="4:14">
      <c r="N100" s="404"/>
    </row>
    <row r="101" spans="4:14" ht="15.6">
      <c r="D101" s="407" t="s">
        <v>283</v>
      </c>
      <c r="E101" s="384"/>
      <c r="F101" s="384"/>
      <c r="N101" s="404"/>
    </row>
    <row r="102" spans="4:14" ht="15.6">
      <c r="D102" s="408" t="s">
        <v>356</v>
      </c>
      <c r="E102" s="409"/>
      <c r="F102" s="409"/>
      <c r="H102" s="573" t="s">
        <v>357</v>
      </c>
      <c r="I102" s="573"/>
      <c r="J102" s="573"/>
      <c r="K102" s="573"/>
      <c r="L102" s="573"/>
      <c r="M102" s="573"/>
      <c r="N102" s="573"/>
    </row>
    <row r="103" spans="4:14" ht="15.6">
      <c r="D103" s="384"/>
      <c r="E103" s="384"/>
      <c r="F103" s="384"/>
      <c r="H103" s="574" t="s">
        <v>358</v>
      </c>
      <c r="I103" s="574"/>
      <c r="J103" s="574"/>
      <c r="K103" s="574"/>
      <c r="L103" s="574"/>
      <c r="M103" s="574"/>
      <c r="N103" s="574"/>
    </row>
    <row r="104" spans="4:14" ht="15.6">
      <c r="D104" s="384" t="s">
        <v>405</v>
      </c>
      <c r="E104" s="407"/>
      <c r="F104" s="384"/>
      <c r="H104" s="574" t="s">
        <v>359</v>
      </c>
      <c r="I104" s="574"/>
      <c r="J104" s="574"/>
      <c r="K104" s="574"/>
      <c r="L104" s="574"/>
      <c r="M104" s="574"/>
      <c r="N104" s="574"/>
    </row>
    <row r="105" spans="4:14" ht="15.6">
      <c r="D105" s="410" t="s">
        <v>360</v>
      </c>
      <c r="E105" s="384"/>
      <c r="F105" s="409"/>
      <c r="H105" s="574" t="s">
        <v>361</v>
      </c>
      <c r="I105" s="574"/>
      <c r="J105" s="574"/>
      <c r="K105" s="574"/>
      <c r="L105" s="574"/>
      <c r="M105" s="574"/>
      <c r="N105" s="574"/>
    </row>
    <row r="106" spans="4:14">
      <c r="N106" s="404"/>
    </row>
    <row r="107" spans="4:14">
      <c r="N107" s="404"/>
    </row>
  </sheetData>
  <mergeCells count="16">
    <mergeCell ref="H103:N103"/>
    <mergeCell ref="H104:N104"/>
    <mergeCell ref="H105:N105"/>
    <mergeCell ref="C7:E7"/>
    <mergeCell ref="C8:E8"/>
    <mergeCell ref="C9:E9"/>
    <mergeCell ref="H9:J9"/>
    <mergeCell ref="C10:E10"/>
    <mergeCell ref="H10:J10"/>
    <mergeCell ref="H7:M7"/>
    <mergeCell ref="H8:M8"/>
    <mergeCell ref="B4:M4"/>
    <mergeCell ref="B5:M5"/>
    <mergeCell ref="A1:M1"/>
    <mergeCell ref="A2:M2"/>
    <mergeCell ref="H102:N102"/>
  </mergeCells>
  <phoneticPr fontId="10" type="noConversion"/>
  <conditionalFormatting sqref="O10 L10:M10 H9:K10">
    <cfRule type="expression" dxfId="117" priority="1" stopIfTrue="1">
      <formula>TIPOORCAMENTO="Proposto"</formula>
    </cfRule>
  </conditionalFormatting>
  <pageMargins left="0.51181102362204722" right="0.51181102362204722" top="1.26875" bottom="0.91249999999999998" header="0.19685039370078741" footer="0.19685039370078741"/>
  <pageSetup paperSize="9" scale="75" orientation="landscape" r:id="rId1"/>
  <headerFooter>
    <oddHeader>&amp;C&amp;G</oddHeader>
    <oddFooter>&amp;L&amp;G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9"/>
  <sheetViews>
    <sheetView view="pageLayout" zoomScaleSheetLayoutView="100" workbookViewId="0">
      <selection activeCell="E56" sqref="E56:E59"/>
    </sheetView>
  </sheetViews>
  <sheetFormatPr defaultRowHeight="13.2"/>
  <cols>
    <col min="1" max="1" width="16.5546875" bestFit="1" customWidth="1"/>
    <col min="2" max="2" width="13.33203125" bestFit="1" customWidth="1"/>
    <col min="3" max="3" width="13.109375" bestFit="1" customWidth="1"/>
    <col min="4" max="4" width="28.21875" bestFit="1" customWidth="1"/>
    <col min="5" max="5" width="17" customWidth="1"/>
    <col min="6" max="6" width="15" customWidth="1"/>
    <col min="7" max="7" width="16" customWidth="1"/>
    <col min="8" max="8" width="17.21875" customWidth="1"/>
    <col min="9" max="9" width="18.21875" customWidth="1"/>
    <col min="10" max="12" width="14.44140625" hidden="1" customWidth="1"/>
    <col min="13" max="13" width="14.44140625" bestFit="1" customWidth="1"/>
  </cols>
  <sheetData>
    <row r="1" spans="1:20" ht="22.8">
      <c r="A1" s="557" t="s">
        <v>364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463"/>
      <c r="Q1" s="463"/>
      <c r="R1" s="463"/>
      <c r="S1" s="463"/>
      <c r="T1" s="463"/>
    </row>
    <row r="2" spans="1:20" ht="22.8">
      <c r="A2" s="557" t="s">
        <v>365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464"/>
      <c r="Q2" s="464"/>
      <c r="R2" s="464"/>
      <c r="S2" s="464"/>
      <c r="T2" s="464"/>
    </row>
    <row r="3" spans="1:20" ht="10.199999999999999" customHeight="1"/>
    <row r="4" spans="1:20" ht="13.2" customHeight="1">
      <c r="A4" s="632" t="s">
        <v>366</v>
      </c>
      <c r="B4" s="632"/>
      <c r="C4" s="632"/>
      <c r="D4" s="632"/>
      <c r="E4" s="632"/>
      <c r="F4" s="632"/>
      <c r="G4" s="632"/>
      <c r="H4" s="632"/>
      <c r="I4" s="632"/>
      <c r="J4" s="632"/>
      <c r="K4" s="632"/>
      <c r="L4" s="632"/>
    </row>
    <row r="5" spans="1:20" ht="15.6">
      <c r="A5" s="628" t="s">
        <v>221</v>
      </c>
      <c r="B5" s="628"/>
      <c r="C5" s="628"/>
      <c r="D5" s="628"/>
      <c r="E5" s="628"/>
      <c r="F5" s="628"/>
      <c r="G5" s="628"/>
      <c r="H5" s="628"/>
      <c r="I5" s="628"/>
      <c r="J5" s="628"/>
      <c r="K5" s="628"/>
      <c r="L5" s="628"/>
    </row>
    <row r="6" spans="1:20" ht="15.6">
      <c r="A6" s="629" t="s">
        <v>210</v>
      </c>
      <c r="B6" s="629"/>
      <c r="C6" s="465" t="s">
        <v>211</v>
      </c>
      <c r="D6" s="630" t="s">
        <v>222</v>
      </c>
      <c r="E6" s="631"/>
      <c r="F6" s="631"/>
      <c r="G6" s="630" t="s">
        <v>225</v>
      </c>
      <c r="H6" s="631"/>
      <c r="I6" s="631"/>
      <c r="J6" s="630" t="s">
        <v>367</v>
      </c>
      <c r="K6" s="631"/>
      <c r="L6" s="631"/>
    </row>
    <row r="7" spans="1:20" ht="16.5" customHeight="1">
      <c r="A7" s="622"/>
      <c r="B7" s="622"/>
      <c r="C7" s="466"/>
      <c r="D7" s="623" t="str">
        <f>Import.Proponente</f>
        <v>Prefeitura Municipal de Paranapanema</v>
      </c>
      <c r="E7" s="624"/>
      <c r="F7" s="624"/>
      <c r="G7" s="623" t="s">
        <v>368</v>
      </c>
      <c r="H7" s="624"/>
      <c r="I7" s="624"/>
      <c r="J7" s="625"/>
      <c r="K7" s="626"/>
      <c r="L7" s="627"/>
    </row>
    <row r="8" spans="1:20" ht="8.4" customHeight="1"/>
    <row r="9" spans="1:20" ht="13.8">
      <c r="A9" s="467" t="s">
        <v>27</v>
      </c>
      <c r="B9" s="616" t="s">
        <v>346</v>
      </c>
      <c r="C9" s="617"/>
      <c r="D9" s="618"/>
      <c r="E9" s="467" t="s">
        <v>369</v>
      </c>
      <c r="F9" s="467" t="s">
        <v>370</v>
      </c>
      <c r="G9" s="468" t="s">
        <v>380</v>
      </c>
      <c r="H9" s="468" t="s">
        <v>381</v>
      </c>
      <c r="I9" s="468" t="s">
        <v>382</v>
      </c>
      <c r="J9" s="468" t="s">
        <v>383</v>
      </c>
      <c r="K9" s="468" t="s">
        <v>384</v>
      </c>
      <c r="L9" s="468" t="s">
        <v>385</v>
      </c>
    </row>
    <row r="10" spans="1:20" ht="15.6">
      <c r="A10" s="479"/>
      <c r="B10" s="591" t="s">
        <v>371</v>
      </c>
      <c r="C10" s="595"/>
      <c r="D10" s="596"/>
      <c r="E10" s="480">
        <f>E12+E14+E24+E26+E28+E30+E32+E34+E36</f>
        <v>185007.83074999999</v>
      </c>
      <c r="F10" s="481" t="s">
        <v>372</v>
      </c>
      <c r="G10" s="482">
        <f>(($E12*G12)+($E14*G14)+($E24*G24)+($E26*G26)+($E28*G28)+($E30*G30)+($E32*G32)+($E34*G34)+($E36*G36))/$E10</f>
        <v>0.22095159747717869</v>
      </c>
      <c r="H10" s="482">
        <f>(($E14*H14)+($E24*H24)+($E26*H26)+($E28*H28)+($E30*H30)+($E32*H32)+($E34*H34)+($E36*H36))/$E10</f>
        <v>0.50341924513376313</v>
      </c>
      <c r="I10" s="482">
        <f>(($E14*I14)+($E24*I24)+($E26*I26)+($E28*I28)+($E30*I30)+($E32*I32)+($E34*I34)+($E36*I36))/$E10</f>
        <v>0.27562915738905819</v>
      </c>
      <c r="J10" s="482">
        <f>(($E14*J14)+($E24*J24)+($E26*J26)+($E28*J28)+($E30*J30)+($E32*J32)+($E34*J34)+($E36*J36))/$E10</f>
        <v>0</v>
      </c>
      <c r="K10" s="482">
        <f>(($E14*K14)+($E24*K24)+($E26*K26)+($E28*K28)+($E30*K30)+($E32*K32)+($E34*K34)+($E36*K36))/$E10</f>
        <v>0</v>
      </c>
      <c r="L10" s="482">
        <f>(($E14*L14)+($E24*L24)+($E26*L26)+($E28*L28)+($E30*L30)+($E32*L32)+($E34*L34)+($E36*L36))/$E10</f>
        <v>0</v>
      </c>
    </row>
    <row r="11" spans="1:20" ht="13.8">
      <c r="A11" s="483"/>
      <c r="B11" s="592"/>
      <c r="C11" s="593"/>
      <c r="D11" s="594"/>
      <c r="E11" s="484"/>
      <c r="F11" s="484"/>
      <c r="G11" s="485"/>
      <c r="H11" s="484"/>
      <c r="I11" s="484"/>
      <c r="J11" s="484"/>
      <c r="K11" s="475"/>
      <c r="L11" s="475"/>
    </row>
    <row r="12" spans="1:20" ht="13.8">
      <c r="A12" s="486" t="s">
        <v>292</v>
      </c>
      <c r="B12" s="591" t="s">
        <v>40</v>
      </c>
      <c r="C12" s="595"/>
      <c r="D12" s="596"/>
      <c r="E12" s="487">
        <f>'Orçamento atual. 09-21'!M14</f>
        <v>2250</v>
      </c>
      <c r="F12" s="481" t="s">
        <v>372</v>
      </c>
      <c r="G12" s="488">
        <f>G13/$E12</f>
        <v>1</v>
      </c>
      <c r="H12" s="476"/>
      <c r="I12" s="476"/>
      <c r="J12" s="476"/>
      <c r="K12" s="476"/>
      <c r="L12" s="477"/>
    </row>
    <row r="13" spans="1:20" ht="13.8">
      <c r="A13" s="489"/>
      <c r="B13" s="597"/>
      <c r="C13" s="598"/>
      <c r="D13" s="599"/>
      <c r="E13" s="478"/>
      <c r="F13" s="478"/>
      <c r="G13" s="517">
        <f>'Orçamento atual. 09-21'!M14</f>
        <v>2250</v>
      </c>
      <c r="H13" s="478"/>
      <c r="I13" s="478"/>
      <c r="J13" s="478"/>
      <c r="K13" s="478"/>
      <c r="L13" s="200"/>
    </row>
    <row r="14" spans="1:20" ht="13.8">
      <c r="A14" s="486" t="s">
        <v>293</v>
      </c>
      <c r="B14" s="591" t="s">
        <v>46</v>
      </c>
      <c r="C14" s="595"/>
      <c r="D14" s="596"/>
      <c r="E14" s="487">
        <f>'Orçamento atual. 09-21'!M17</f>
        <v>10533.352499999999</v>
      </c>
      <c r="F14" s="481" t="s">
        <v>372</v>
      </c>
      <c r="G14" s="488">
        <f>G15/$E14</f>
        <v>1</v>
      </c>
      <c r="H14" s="490"/>
      <c r="I14" s="490"/>
      <c r="J14" s="490"/>
      <c r="K14" s="476"/>
      <c r="L14" s="477"/>
    </row>
    <row r="15" spans="1:20" ht="13.8">
      <c r="A15" s="483"/>
      <c r="B15" s="597"/>
      <c r="C15" s="598"/>
      <c r="D15" s="599"/>
      <c r="E15" s="485"/>
      <c r="F15" s="485"/>
      <c r="G15" s="516">
        <f>'Orçamento atual. 09-21'!M19</f>
        <v>10533.352499999999</v>
      </c>
      <c r="H15" s="485"/>
      <c r="I15" s="485"/>
      <c r="J15" s="485"/>
      <c r="K15" s="478"/>
      <c r="L15" s="200"/>
    </row>
    <row r="16" spans="1:20" ht="13.8" hidden="1">
      <c r="A16" s="491" t="s">
        <v>294</v>
      </c>
      <c r="B16" s="591" t="s">
        <v>52</v>
      </c>
      <c r="C16" s="591"/>
      <c r="D16" s="591"/>
      <c r="E16" s="487">
        <f>[3]PO!M24</f>
        <v>5788.8724999999995</v>
      </c>
      <c r="F16" s="481" t="s">
        <v>372</v>
      </c>
      <c r="G16" s="488">
        <v>1</v>
      </c>
      <c r="H16" s="490"/>
      <c r="I16" s="490"/>
      <c r="J16" s="490"/>
      <c r="K16" s="476"/>
      <c r="L16" s="477"/>
    </row>
    <row r="17" spans="1:12" ht="13.8" hidden="1">
      <c r="A17" s="492"/>
      <c r="B17" s="602"/>
      <c r="C17" s="602"/>
      <c r="D17" s="602"/>
      <c r="E17" s="493"/>
      <c r="F17" s="475"/>
      <c r="G17" s="485"/>
      <c r="H17" s="485"/>
      <c r="I17" s="485"/>
      <c r="J17" s="485"/>
      <c r="K17" s="478"/>
      <c r="L17" s="200"/>
    </row>
    <row r="18" spans="1:12" ht="13.8" hidden="1">
      <c r="A18" s="491" t="s">
        <v>295</v>
      </c>
      <c r="B18" s="591" t="s">
        <v>79</v>
      </c>
      <c r="C18" s="591"/>
      <c r="D18" s="591"/>
      <c r="E18" s="494">
        <f>[3]PO!M37</f>
        <v>7954.2000000000007</v>
      </c>
      <c r="F18" s="481" t="s">
        <v>372</v>
      </c>
      <c r="G18" s="490"/>
      <c r="H18" s="488">
        <v>1</v>
      </c>
      <c r="I18" s="490"/>
      <c r="J18" s="490"/>
      <c r="K18" s="476"/>
      <c r="L18" s="477"/>
    </row>
    <row r="19" spans="1:12" ht="13.8" hidden="1">
      <c r="A19" s="492"/>
      <c r="B19" s="602"/>
      <c r="C19" s="603"/>
      <c r="D19" s="604"/>
      <c r="E19" s="493"/>
      <c r="F19" s="475"/>
      <c r="G19" s="475"/>
      <c r="H19" s="475"/>
      <c r="I19" s="475"/>
      <c r="J19" s="475"/>
      <c r="K19" s="475"/>
      <c r="L19" s="495"/>
    </row>
    <row r="20" spans="1:12" ht="13.8" hidden="1">
      <c r="A20" s="491" t="s">
        <v>296</v>
      </c>
      <c r="B20" s="591" t="s">
        <v>82</v>
      </c>
      <c r="C20" s="595"/>
      <c r="D20" s="596"/>
      <c r="E20" s="494">
        <f>[3]PO!M39</f>
        <v>4040</v>
      </c>
      <c r="F20" s="481" t="s">
        <v>372</v>
      </c>
      <c r="G20" s="490"/>
      <c r="H20" s="490"/>
      <c r="I20" s="488">
        <v>1</v>
      </c>
      <c r="J20" s="490"/>
      <c r="K20" s="476"/>
      <c r="L20" s="477"/>
    </row>
    <row r="21" spans="1:12" ht="13.8" hidden="1">
      <c r="A21" s="492"/>
      <c r="B21" s="602"/>
      <c r="C21" s="603"/>
      <c r="D21" s="604"/>
      <c r="E21" s="493"/>
      <c r="F21" s="475"/>
      <c r="G21" s="475"/>
      <c r="H21" s="475"/>
      <c r="I21" s="475"/>
      <c r="J21" s="475"/>
      <c r="K21" s="475"/>
      <c r="L21" s="495"/>
    </row>
    <row r="22" spans="1:12" ht="13.8" hidden="1">
      <c r="A22" s="491" t="s">
        <v>297</v>
      </c>
      <c r="B22" s="591" t="s">
        <v>94</v>
      </c>
      <c r="C22" s="595"/>
      <c r="D22" s="596"/>
      <c r="E22" s="494">
        <f>[3]PO!M45</f>
        <v>112.53</v>
      </c>
      <c r="F22" s="481" t="s">
        <v>372</v>
      </c>
      <c r="G22" s="490"/>
      <c r="H22" s="490"/>
      <c r="I22" s="488">
        <v>1</v>
      </c>
      <c r="J22" s="476"/>
      <c r="K22" s="476"/>
      <c r="L22" s="477"/>
    </row>
    <row r="23" spans="1:12" ht="13.8" hidden="1">
      <c r="A23" s="492"/>
      <c r="B23" s="602"/>
      <c r="C23" s="603"/>
      <c r="D23" s="604"/>
      <c r="E23" s="493"/>
      <c r="F23" s="475"/>
      <c r="G23" s="475"/>
      <c r="H23" s="475"/>
      <c r="I23" s="475"/>
      <c r="J23" s="475"/>
      <c r="K23" s="475"/>
      <c r="L23" s="495"/>
    </row>
    <row r="24" spans="1:12" ht="13.8">
      <c r="A24" s="491" t="s">
        <v>294</v>
      </c>
      <c r="B24" s="605" t="s">
        <v>101</v>
      </c>
      <c r="C24" s="606"/>
      <c r="D24" s="607"/>
      <c r="E24" s="494">
        <f>'Orçamento atual. 09-21'!M45</f>
        <v>3249.1625000000004</v>
      </c>
      <c r="F24" s="481" t="s">
        <v>372</v>
      </c>
      <c r="G24" s="490"/>
      <c r="H24" s="490"/>
      <c r="I24" s="488">
        <f>I25/$E24</f>
        <v>1</v>
      </c>
      <c r="J24" s="476"/>
      <c r="K24" s="476"/>
      <c r="L24" s="477"/>
    </row>
    <row r="25" spans="1:12" ht="13.8">
      <c r="A25" s="492"/>
      <c r="B25" s="602"/>
      <c r="C25" s="603"/>
      <c r="D25" s="604"/>
      <c r="E25" s="493"/>
      <c r="F25" s="475"/>
      <c r="G25" s="475"/>
      <c r="H25" s="475"/>
      <c r="I25" s="493">
        <f>'Orçamento atual. 09-21'!M45</f>
        <v>3249.1625000000004</v>
      </c>
      <c r="J25" s="475"/>
      <c r="K25" s="475"/>
      <c r="L25" s="495"/>
    </row>
    <row r="26" spans="1:12" ht="13.8">
      <c r="A26" s="491" t="s">
        <v>295</v>
      </c>
      <c r="B26" s="605" t="s">
        <v>116</v>
      </c>
      <c r="C26" s="606"/>
      <c r="D26" s="607"/>
      <c r="E26" s="494">
        <f>'Orçamento atual. 09-21'!M53</f>
        <v>7854.6487499999994</v>
      </c>
      <c r="F26" s="481" t="s">
        <v>372</v>
      </c>
      <c r="G26" s="488">
        <f>G27/$E26</f>
        <v>0.93172832839915343</v>
      </c>
      <c r="H26" s="490"/>
      <c r="I26" s="488">
        <f>I27/$E26</f>
        <v>6.8271671600846573E-2</v>
      </c>
      <c r="J26" s="490"/>
      <c r="K26" s="476"/>
      <c r="L26" s="477"/>
    </row>
    <row r="27" spans="1:12" ht="13.8">
      <c r="A27" s="492"/>
      <c r="B27" s="602"/>
      <c r="C27" s="603"/>
      <c r="D27" s="604"/>
      <c r="E27" s="493"/>
      <c r="F27" s="475"/>
      <c r="G27" s="493">
        <f>'Orçamento atual. 09-21'!M55+'Orçamento atual. 09-21'!M56</f>
        <v>7318.3987499999994</v>
      </c>
      <c r="H27" s="475"/>
      <c r="I27" s="493">
        <f>'Orçamento atual. 09-21'!M63+'Orçamento atual. 09-21'!M64</f>
        <v>536.25</v>
      </c>
      <c r="J27" s="475"/>
      <c r="K27" s="475"/>
      <c r="L27" s="495"/>
    </row>
    <row r="28" spans="1:12" ht="13.8">
      <c r="A28" s="491" t="s">
        <v>296</v>
      </c>
      <c r="B28" s="605" t="s">
        <v>137</v>
      </c>
      <c r="C28" s="606"/>
      <c r="D28" s="607"/>
      <c r="E28" s="494">
        <f>'Orçamento atual. 09-21'!M66</f>
        <v>2562.7495000000004</v>
      </c>
      <c r="F28" s="481" t="s">
        <v>372</v>
      </c>
      <c r="G28" s="488">
        <f>G29/$E28</f>
        <v>1</v>
      </c>
      <c r="H28" s="490"/>
      <c r="I28" s="490"/>
      <c r="J28" s="490"/>
      <c r="K28" s="476"/>
      <c r="L28" s="477"/>
    </row>
    <row r="29" spans="1:12" ht="13.8">
      <c r="A29" s="492"/>
      <c r="B29" s="602"/>
      <c r="C29" s="603"/>
      <c r="D29" s="604"/>
      <c r="E29" s="475"/>
      <c r="F29" s="475"/>
      <c r="G29" s="493">
        <f>'Orçamento atual. 09-21'!M66</f>
        <v>2562.7495000000004</v>
      </c>
      <c r="H29" s="475"/>
      <c r="I29" s="475"/>
      <c r="J29" s="475"/>
      <c r="K29" s="475"/>
      <c r="L29" s="495"/>
    </row>
    <row r="30" spans="1:12" ht="13.8">
      <c r="A30" s="491" t="s">
        <v>297</v>
      </c>
      <c r="B30" s="605" t="s">
        <v>146</v>
      </c>
      <c r="C30" s="606"/>
      <c r="D30" s="607"/>
      <c r="E30" s="487">
        <f>'Orçamento atual. 09-21'!M71</f>
        <v>16054.125</v>
      </c>
      <c r="F30" s="481" t="s">
        <v>372</v>
      </c>
      <c r="G30" s="490"/>
      <c r="H30" s="490"/>
      <c r="I30" s="488">
        <f>I31/$E30</f>
        <v>1</v>
      </c>
      <c r="J30" s="490"/>
      <c r="K30" s="490"/>
      <c r="L30" s="477"/>
    </row>
    <row r="31" spans="1:12" ht="13.8">
      <c r="A31" s="483"/>
      <c r="B31" s="608"/>
      <c r="C31" s="609"/>
      <c r="D31" s="610"/>
      <c r="E31" s="475"/>
      <c r="F31" s="475"/>
      <c r="G31" s="475"/>
      <c r="H31" s="475"/>
      <c r="I31" s="493">
        <f>'Orçamento atual. 09-21'!M71</f>
        <v>16054.125</v>
      </c>
      <c r="J31" s="475"/>
      <c r="K31" s="475"/>
      <c r="L31" s="495"/>
    </row>
    <row r="32" spans="1:12" ht="13.8">
      <c r="A32" s="491" t="s">
        <v>298</v>
      </c>
      <c r="B32" s="605" t="s">
        <v>158</v>
      </c>
      <c r="C32" s="606"/>
      <c r="D32" s="607"/>
      <c r="E32" s="494">
        <f>'Orçamento atual. 09-21'!M77</f>
        <v>111349.7775</v>
      </c>
      <c r="F32" s="481" t="s">
        <v>372</v>
      </c>
      <c r="G32" s="488">
        <f>G33/$E32</f>
        <v>0.16356813106339618</v>
      </c>
      <c r="H32" s="488">
        <f>H33/$E32</f>
        <v>0.83643186893660393</v>
      </c>
      <c r="I32" s="490"/>
      <c r="J32" s="490"/>
      <c r="K32" s="490"/>
      <c r="L32" s="490"/>
    </row>
    <row r="33" spans="1:13" ht="13.8">
      <c r="A33" s="492"/>
      <c r="B33" s="602"/>
      <c r="C33" s="603"/>
      <c r="D33" s="604"/>
      <c r="E33" s="475"/>
      <c r="F33" s="475"/>
      <c r="G33" s="493">
        <f>'Orçamento atual. 09-21'!M79+'Orçamento atual. 09-21'!M80+'Orçamento atual. 09-21'!M81+'Orçamento atual. 09-21'!M82+'Orçamento atual. 09-21'!M83+'Orçamento atual. 09-21'!M84+'Orçamento atual. 09-21'!M85+'Orçamento atual. 09-21'!M86</f>
        <v>18213.275000000001</v>
      </c>
      <c r="H33" s="493">
        <f>'Orçamento atual. 09-21'!M78</f>
        <v>93136.502500000002</v>
      </c>
      <c r="I33" s="475"/>
      <c r="J33" s="475"/>
      <c r="K33" s="475"/>
      <c r="L33" s="495"/>
    </row>
    <row r="34" spans="1:13" ht="13.8">
      <c r="A34" s="491" t="s">
        <v>299</v>
      </c>
      <c r="B34" s="605" t="s">
        <v>177</v>
      </c>
      <c r="C34" s="606"/>
      <c r="D34" s="607"/>
      <c r="E34" s="494">
        <f>'Orçamento atual. 09-21'!M87</f>
        <v>31154.014999999996</v>
      </c>
      <c r="F34" s="497" t="s">
        <v>372</v>
      </c>
      <c r="G34" s="498"/>
      <c r="H34" s="498"/>
      <c r="I34" s="488">
        <f>I35/$E34</f>
        <v>1</v>
      </c>
      <c r="J34" s="498"/>
      <c r="K34" s="499"/>
      <c r="L34" s="499"/>
    </row>
    <row r="35" spans="1:13" ht="13.8">
      <c r="A35" s="492"/>
      <c r="B35" s="500"/>
      <c r="C35" s="496"/>
      <c r="D35" s="501"/>
      <c r="E35" s="493"/>
      <c r="F35" s="475"/>
      <c r="G35" s="475"/>
      <c r="H35" s="475"/>
      <c r="I35" s="493">
        <f>'Orçamento atual. 09-21'!M88</f>
        <v>31154.014999999996</v>
      </c>
      <c r="J35" s="475"/>
      <c r="K35" s="475"/>
      <c r="L35" s="495"/>
    </row>
    <row r="36" spans="1:13" ht="13.8" hidden="1">
      <c r="A36" s="491" t="s">
        <v>299</v>
      </c>
      <c r="B36" s="605" t="s">
        <v>180</v>
      </c>
      <c r="C36" s="606"/>
      <c r="D36" s="607"/>
      <c r="E36" s="494">
        <f>'Orçamento atual. 09-21'!M89</f>
        <v>0</v>
      </c>
      <c r="F36" s="497" t="s">
        <v>372</v>
      </c>
      <c r="G36" s="498"/>
      <c r="H36" s="498"/>
      <c r="I36" s="488"/>
      <c r="J36" s="498"/>
      <c r="K36" s="499"/>
      <c r="L36" s="499"/>
    </row>
    <row r="37" spans="1:13" ht="13.8" hidden="1">
      <c r="A37" s="492"/>
      <c r="B37" s="500"/>
      <c r="C37" s="496"/>
      <c r="D37" s="501"/>
      <c r="E37" s="493"/>
      <c r="F37" s="475"/>
      <c r="G37" s="475"/>
      <c r="H37" s="475"/>
      <c r="I37" s="493">
        <f>'Orçamento atual. 09-21'!M92</f>
        <v>0</v>
      </c>
      <c r="J37" s="475"/>
      <c r="K37" s="475"/>
      <c r="L37" s="475"/>
    </row>
    <row r="38" spans="1:13" ht="13.8">
      <c r="A38" s="600"/>
      <c r="B38" s="600"/>
      <c r="C38" s="600"/>
      <c r="D38" s="600"/>
      <c r="E38" s="600"/>
      <c r="F38" s="600"/>
      <c r="G38" s="600"/>
      <c r="H38" s="600"/>
      <c r="I38" s="600"/>
      <c r="J38" s="600"/>
      <c r="K38" s="600"/>
      <c r="L38" s="600"/>
    </row>
    <row r="39" spans="1:13" ht="10.8" customHeight="1">
      <c r="A39" s="392"/>
      <c r="B39" s="392"/>
      <c r="C39" s="392"/>
      <c r="D39" s="392"/>
      <c r="E39" s="392"/>
      <c r="F39" s="392"/>
      <c r="G39" s="392"/>
      <c r="H39" s="392"/>
      <c r="I39" s="392"/>
      <c r="J39" s="392"/>
      <c r="K39" s="392"/>
      <c r="L39" s="392"/>
    </row>
    <row r="40" spans="1:13" ht="14.4" customHeight="1">
      <c r="A40" s="502" t="s">
        <v>374</v>
      </c>
      <c r="B40" s="601">
        <f>E10</f>
        <v>185007.83074999999</v>
      </c>
      <c r="C40" s="601"/>
      <c r="D40" s="200"/>
      <c r="E40" s="589" t="s">
        <v>375</v>
      </c>
      <c r="F40" s="590"/>
      <c r="G40" s="503">
        <f t="shared" ref="G40:L40" si="0">G10</f>
        <v>0.22095159747717869</v>
      </c>
      <c r="H40" s="503">
        <f t="shared" si="0"/>
        <v>0.50341924513376313</v>
      </c>
      <c r="I40" s="503">
        <f t="shared" si="0"/>
        <v>0.27562915738905819</v>
      </c>
      <c r="J40" s="503">
        <f t="shared" si="0"/>
        <v>0</v>
      </c>
      <c r="K40" s="503">
        <f t="shared" si="0"/>
        <v>0</v>
      </c>
      <c r="L40" s="503">
        <f t="shared" si="0"/>
        <v>0</v>
      </c>
    </row>
    <row r="41" spans="1:13" ht="13.8">
      <c r="A41" s="392"/>
      <c r="B41" s="392"/>
      <c r="C41" s="392"/>
      <c r="D41" s="200"/>
      <c r="E41" s="587" t="s">
        <v>376</v>
      </c>
      <c r="F41" s="588"/>
      <c r="G41" s="504">
        <f>G40*$M46</f>
        <v>40836.897974250001</v>
      </c>
      <c r="H41" s="504">
        <f>H40*$M46</f>
        <v>93043.365997500005</v>
      </c>
      <c r="I41" s="504">
        <f>I40*$M46</f>
        <v>50942.558947499987</v>
      </c>
      <c r="J41" s="504">
        <f>J40*$L46</f>
        <v>0</v>
      </c>
      <c r="K41" s="504">
        <f>K40*$L46</f>
        <v>0</v>
      </c>
      <c r="L41" s="504">
        <f>L40*$L46</f>
        <v>0</v>
      </c>
    </row>
    <row r="42" spans="1:13" ht="13.8">
      <c r="A42" s="392"/>
      <c r="B42" s="392"/>
      <c r="C42" s="505"/>
      <c r="D42" s="200"/>
      <c r="E42" s="589" t="s">
        <v>377</v>
      </c>
      <c r="F42" s="590"/>
      <c r="G42" s="504">
        <f>G40*$M47</f>
        <v>40.877775750000005</v>
      </c>
      <c r="H42" s="504">
        <f>H40*$M47</f>
        <v>93.13650250000002</v>
      </c>
      <c r="I42" s="504">
        <f>I40*$M47</f>
        <v>50.993552499999993</v>
      </c>
      <c r="J42" s="504">
        <f>J40*$L47</f>
        <v>0</v>
      </c>
      <c r="K42" s="504">
        <f>K40*$L47</f>
        <v>0</v>
      </c>
      <c r="L42" s="504">
        <f>L40*$L47</f>
        <v>0</v>
      </c>
    </row>
    <row r="43" spans="1:13" ht="13.8">
      <c r="A43" s="392"/>
      <c r="B43" s="392"/>
      <c r="C43" s="505"/>
      <c r="D43" s="200"/>
      <c r="E43" s="587" t="s">
        <v>378</v>
      </c>
      <c r="F43" s="588"/>
      <c r="G43" s="506"/>
      <c r="H43" s="506"/>
      <c r="I43" s="506"/>
      <c r="J43" s="506"/>
      <c r="K43" s="507"/>
      <c r="L43" s="508"/>
    </row>
    <row r="44" spans="1:13" ht="13.8">
      <c r="A44" s="392"/>
      <c r="B44" s="392"/>
      <c r="C44" s="505"/>
      <c r="D44" s="200"/>
      <c r="E44" s="614" t="s">
        <v>379</v>
      </c>
      <c r="F44" s="613"/>
      <c r="G44" s="509">
        <f t="shared" ref="G44:L44" si="1">G41+G42</f>
        <v>40877.775750000001</v>
      </c>
      <c r="H44" s="509">
        <f t="shared" si="1"/>
        <v>93136.502500000002</v>
      </c>
      <c r="I44" s="509">
        <f t="shared" si="1"/>
        <v>50993.552499999983</v>
      </c>
      <c r="J44" s="509">
        <f t="shared" si="1"/>
        <v>0</v>
      </c>
      <c r="K44" s="509">
        <f t="shared" si="1"/>
        <v>0</v>
      </c>
      <c r="L44" s="509">
        <f t="shared" si="1"/>
        <v>0</v>
      </c>
    </row>
    <row r="45" spans="1:13" ht="13.8">
      <c r="A45" s="392"/>
      <c r="B45" s="392"/>
      <c r="C45" s="392"/>
      <c r="D45" s="392"/>
      <c r="E45" s="589" t="s">
        <v>375</v>
      </c>
      <c r="F45" s="590"/>
      <c r="G45" s="510">
        <f>G40</f>
        <v>0.22095159747717869</v>
      </c>
      <c r="H45" s="510">
        <f t="shared" ref="H45:L47" si="2">H40+G45</f>
        <v>0.72437084261094187</v>
      </c>
      <c r="I45" s="510">
        <f t="shared" si="2"/>
        <v>1</v>
      </c>
      <c r="J45" s="510"/>
      <c r="K45" s="510">
        <f t="shared" si="2"/>
        <v>0</v>
      </c>
      <c r="L45" s="510">
        <f t="shared" si="2"/>
        <v>0</v>
      </c>
    </row>
    <row r="46" spans="1:13" ht="13.8">
      <c r="A46" s="392"/>
      <c r="B46" s="392"/>
      <c r="C46" s="392"/>
      <c r="D46" s="392"/>
      <c r="E46" s="611" t="s">
        <v>376</v>
      </c>
      <c r="F46" s="588"/>
      <c r="G46" s="504">
        <f>G41</f>
        <v>40836.897974250001</v>
      </c>
      <c r="H46" s="504">
        <f t="shared" si="2"/>
        <v>133880.26397175001</v>
      </c>
      <c r="I46" s="504">
        <f t="shared" si="2"/>
        <v>184822.82291925</v>
      </c>
      <c r="J46" s="504"/>
      <c r="K46" s="504">
        <f t="shared" si="2"/>
        <v>0</v>
      </c>
      <c r="L46" s="504"/>
      <c r="M46" s="504">
        <f>B40*0.999</f>
        <v>184822.82291925</v>
      </c>
    </row>
    <row r="47" spans="1:13" ht="13.8">
      <c r="A47" s="392"/>
      <c r="B47" s="392"/>
      <c r="C47" s="392"/>
      <c r="D47" s="392"/>
      <c r="E47" s="615" t="s">
        <v>377</v>
      </c>
      <c r="F47" s="590"/>
      <c r="G47" s="504">
        <f>G42</f>
        <v>40.877775750000005</v>
      </c>
      <c r="H47" s="504">
        <f t="shared" si="2"/>
        <v>134.01427825000002</v>
      </c>
      <c r="I47" s="504">
        <f t="shared" si="2"/>
        <v>185.00783075000001</v>
      </c>
      <c r="J47" s="504"/>
      <c r="K47" s="504">
        <f t="shared" si="2"/>
        <v>0</v>
      </c>
      <c r="L47" s="504"/>
      <c r="M47" s="504">
        <f>B40*0.001</f>
        <v>185.00783075000001</v>
      </c>
    </row>
    <row r="48" spans="1:13" ht="13.8">
      <c r="A48" s="392"/>
      <c r="B48" s="392"/>
      <c r="C48" s="392"/>
      <c r="D48" s="392"/>
      <c r="E48" s="611" t="s">
        <v>378</v>
      </c>
      <c r="F48" s="588"/>
      <c r="G48" s="511"/>
      <c r="H48" s="511"/>
      <c r="I48" s="511"/>
      <c r="J48" s="511"/>
      <c r="K48" s="512"/>
      <c r="L48" s="513"/>
    </row>
    <row r="49" spans="1:12" ht="13.8">
      <c r="A49" s="392"/>
      <c r="B49" s="392"/>
      <c r="C49" s="392"/>
      <c r="D49" s="392"/>
      <c r="E49" s="612" t="s">
        <v>379</v>
      </c>
      <c r="F49" s="613"/>
      <c r="G49" s="509">
        <f>G44</f>
        <v>40877.775750000001</v>
      </c>
      <c r="H49" s="509">
        <f>H46+H47</f>
        <v>134014.27825</v>
      </c>
      <c r="I49" s="514">
        <f>I46+I47</f>
        <v>185007.83074999999</v>
      </c>
      <c r="J49" s="515">
        <f>J46+J47</f>
        <v>0</v>
      </c>
      <c r="K49" s="514">
        <f>K46+K47</f>
        <v>0</v>
      </c>
      <c r="L49" s="515">
        <f>L46+L47</f>
        <v>0</v>
      </c>
    </row>
    <row r="50" spans="1:12" ht="13.8">
      <c r="A50" s="392"/>
      <c r="B50" s="392"/>
      <c r="C50" s="392"/>
      <c r="D50" s="392"/>
      <c r="E50" s="392"/>
      <c r="F50" s="392"/>
      <c r="G50" s="392"/>
      <c r="H50" s="392"/>
      <c r="I50" s="392"/>
      <c r="J50" s="392"/>
      <c r="K50" s="392"/>
      <c r="L50" s="392"/>
    </row>
    <row r="51" spans="1:12" ht="13.2" hidden="1" customHeight="1">
      <c r="A51" s="392"/>
      <c r="B51" s="392"/>
      <c r="C51" s="392"/>
      <c r="D51" s="392"/>
      <c r="E51" s="392"/>
      <c r="F51" s="392"/>
      <c r="G51" s="392"/>
      <c r="H51" s="392"/>
      <c r="I51" s="505"/>
      <c r="J51" s="392"/>
      <c r="K51" s="392"/>
      <c r="L51" s="392"/>
    </row>
    <row r="52" spans="1:12" ht="13.8">
      <c r="A52" s="392"/>
      <c r="B52" s="392"/>
      <c r="C52" s="392"/>
      <c r="D52" s="392"/>
      <c r="E52" s="392"/>
      <c r="F52" s="392"/>
      <c r="G52" s="392"/>
      <c r="H52" s="392"/>
      <c r="I52" s="392"/>
      <c r="J52" s="392"/>
      <c r="K52" s="392"/>
      <c r="L52" s="392"/>
    </row>
    <row r="55" spans="1:12" ht="15.6">
      <c r="A55" s="469" t="s">
        <v>283</v>
      </c>
      <c r="B55" s="469"/>
      <c r="C55" s="470"/>
      <c r="D55" s="469"/>
      <c r="E55" s="469"/>
      <c r="F55" s="392"/>
      <c r="G55" s="620"/>
      <c r="H55" s="620"/>
      <c r="I55" s="620"/>
      <c r="J55" s="620"/>
      <c r="K55" s="620"/>
      <c r="L55" s="620"/>
    </row>
    <row r="56" spans="1:12" ht="15.6">
      <c r="A56" s="471" t="s">
        <v>356</v>
      </c>
      <c r="B56" s="471"/>
      <c r="C56" s="472"/>
      <c r="D56" s="471"/>
      <c r="E56" s="472"/>
      <c r="F56" s="392"/>
      <c r="G56" s="621" t="s">
        <v>357</v>
      </c>
      <c r="H56" s="621"/>
      <c r="I56" s="621"/>
      <c r="J56" s="621"/>
      <c r="K56" s="621"/>
      <c r="L56" s="621"/>
    </row>
    <row r="57" spans="1:12" ht="15.6">
      <c r="A57" s="392"/>
      <c r="B57" s="392"/>
      <c r="C57" s="392"/>
      <c r="D57" s="392"/>
      <c r="E57" s="392"/>
      <c r="F57" s="392"/>
      <c r="G57" s="619" t="s">
        <v>358</v>
      </c>
      <c r="H57" s="619"/>
      <c r="I57" s="619"/>
      <c r="J57" s="619"/>
      <c r="K57" s="619"/>
      <c r="L57" s="619"/>
    </row>
    <row r="58" spans="1:12" ht="15.6">
      <c r="A58" s="470" t="s">
        <v>405</v>
      </c>
      <c r="B58" s="470"/>
      <c r="C58" s="470"/>
      <c r="D58" s="470"/>
      <c r="E58" s="392"/>
      <c r="F58" s="392"/>
      <c r="G58" s="619" t="s">
        <v>359</v>
      </c>
      <c r="H58" s="619"/>
      <c r="I58" s="619"/>
      <c r="J58" s="619"/>
      <c r="K58" s="619"/>
      <c r="L58" s="619"/>
    </row>
    <row r="59" spans="1:12" ht="15.6">
      <c r="A59" s="473" t="s">
        <v>360</v>
      </c>
      <c r="B59" s="474"/>
      <c r="C59" s="383"/>
      <c r="D59" s="383"/>
      <c r="E59" s="469"/>
      <c r="F59" s="392"/>
      <c r="G59" s="619" t="s">
        <v>361</v>
      </c>
      <c r="H59" s="619"/>
      <c r="I59" s="619"/>
      <c r="J59" s="619"/>
      <c r="K59" s="619"/>
      <c r="L59" s="619"/>
    </row>
  </sheetData>
  <mergeCells count="56">
    <mergeCell ref="A1:O1"/>
    <mergeCell ref="A2:O2"/>
    <mergeCell ref="A7:B7"/>
    <mergeCell ref="D7:F7"/>
    <mergeCell ref="G7:I7"/>
    <mergeCell ref="J7:L7"/>
    <mergeCell ref="A5:L5"/>
    <mergeCell ref="A6:B6"/>
    <mergeCell ref="D6:F6"/>
    <mergeCell ref="G6:I6"/>
    <mergeCell ref="J6:L6"/>
    <mergeCell ref="A4:L4"/>
    <mergeCell ref="G57:L57"/>
    <mergeCell ref="G58:L58"/>
    <mergeCell ref="G59:L59"/>
    <mergeCell ref="B10:D10"/>
    <mergeCell ref="B34:D34"/>
    <mergeCell ref="B36:D36"/>
    <mergeCell ref="B14:D14"/>
    <mergeCell ref="B15:D15"/>
    <mergeCell ref="G55:L55"/>
    <mergeCell ref="G56:L56"/>
    <mergeCell ref="B23:D23"/>
    <mergeCell ref="B24:D24"/>
    <mergeCell ref="B25:D25"/>
    <mergeCell ref="B26:D26"/>
    <mergeCell ref="B27:D27"/>
    <mergeCell ref="B28:D28"/>
    <mergeCell ref="B9:D9"/>
    <mergeCell ref="B19:D19"/>
    <mergeCell ref="B20:D20"/>
    <mergeCell ref="B21:D21"/>
    <mergeCell ref="B22:D22"/>
    <mergeCell ref="E48:F48"/>
    <mergeCell ref="E49:F49"/>
    <mergeCell ref="E43:F43"/>
    <mergeCell ref="E44:F44"/>
    <mergeCell ref="E45:F45"/>
    <mergeCell ref="E46:F46"/>
    <mergeCell ref="E47:F47"/>
    <mergeCell ref="E41:F41"/>
    <mergeCell ref="E42:F42"/>
    <mergeCell ref="B18:D18"/>
    <mergeCell ref="B11:D11"/>
    <mergeCell ref="B12:D12"/>
    <mergeCell ref="B13:D13"/>
    <mergeCell ref="A38:L38"/>
    <mergeCell ref="B40:C40"/>
    <mergeCell ref="E40:F40"/>
    <mergeCell ref="B17:D17"/>
    <mergeCell ref="B16:D16"/>
    <mergeCell ref="B29:D29"/>
    <mergeCell ref="B30:D30"/>
    <mergeCell ref="B31:D31"/>
    <mergeCell ref="B32:D32"/>
    <mergeCell ref="B33:D33"/>
  </mergeCells>
  <phoneticPr fontId="10" type="noConversion"/>
  <pageMargins left="0.9055118110236221" right="0.9055118110236221" top="1.299212598425197" bottom="0.39370078740157483" header="0.23622047244094491" footer="0.31496062992125984"/>
  <pageSetup paperSize="9" scale="71" orientation="landscape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V352"/>
  <sheetViews>
    <sheetView workbookViewId="0">
      <selection activeCell="A7" sqref="A7:I7"/>
    </sheetView>
  </sheetViews>
  <sheetFormatPr defaultColWidth="9.109375" defaultRowHeight="13.2"/>
  <cols>
    <col min="1" max="2" width="16.6640625" style="106" customWidth="1"/>
    <col min="3" max="3" width="32.6640625" style="60" customWidth="1"/>
    <col min="4" max="4" width="31.109375" style="84" customWidth="1"/>
    <col min="5" max="5" width="40.6640625" style="84" customWidth="1"/>
    <col min="6" max="6" width="25.6640625" style="60" customWidth="1"/>
    <col min="7" max="7" width="4.33203125" style="60" customWidth="1"/>
    <col min="8" max="8" width="25.6640625" style="60" customWidth="1"/>
    <col min="9" max="10" width="16.6640625" style="60" customWidth="1"/>
    <col min="11" max="23" width="8.6640625" style="60" customWidth="1"/>
    <col min="24" max="16384" width="9.109375" style="60"/>
  </cols>
  <sheetData>
    <row r="1" spans="1:24">
      <c r="A1" s="58">
        <v>37587</v>
      </c>
      <c r="B1" s="663" t="s">
        <v>198</v>
      </c>
      <c r="C1" s="663"/>
      <c r="D1" s="663"/>
      <c r="E1" s="663"/>
      <c r="F1" s="663"/>
      <c r="G1" s="663"/>
      <c r="H1" s="663"/>
      <c r="I1" s="663"/>
      <c r="J1" s="664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4">
      <c r="A2" s="61" t="s">
        <v>199</v>
      </c>
      <c r="B2" s="665"/>
      <c r="C2" s="665"/>
      <c r="D2" s="665"/>
      <c r="E2" s="665"/>
      <c r="F2" s="665"/>
      <c r="G2" s="665"/>
      <c r="H2" s="665"/>
      <c r="I2" s="665"/>
      <c r="J2" s="666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4" s="64" customFormat="1" ht="13.8">
      <c r="A3" s="62"/>
      <c r="B3" s="63"/>
      <c r="C3" s="63"/>
      <c r="D3" s="63"/>
      <c r="E3" s="63"/>
      <c r="F3" s="63"/>
      <c r="G3" s="63"/>
      <c r="H3" s="63"/>
      <c r="I3" s="63"/>
      <c r="J3" s="63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4" s="64" customFormat="1">
      <c r="A4" s="65"/>
      <c r="B4" s="65"/>
      <c r="D4" s="66"/>
      <c r="E4" s="66"/>
    </row>
    <row r="5" spans="1:24" s="65" customFormat="1">
      <c r="A5" s="667" t="s">
        <v>200</v>
      </c>
      <c r="B5" s="668"/>
      <c r="C5" s="668"/>
      <c r="D5" s="668"/>
      <c r="E5" s="668"/>
      <c r="F5" s="668"/>
      <c r="G5" s="668"/>
      <c r="H5" s="668"/>
      <c r="I5" s="668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</row>
    <row r="6" spans="1:24" s="64" customFormat="1">
      <c r="A6" s="65"/>
      <c r="B6" s="65"/>
      <c r="D6" s="66"/>
      <c r="E6" s="66"/>
    </row>
    <row r="7" spans="1:24" s="64" customFormat="1">
      <c r="A7" s="658" t="s">
        <v>201</v>
      </c>
      <c r="B7" s="658"/>
      <c r="C7" s="658"/>
      <c r="D7" s="658"/>
      <c r="E7" s="658"/>
      <c r="F7" s="658"/>
      <c r="G7" s="658"/>
      <c r="H7" s="658"/>
      <c r="I7" s="65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</row>
    <row r="8" spans="1:24" s="64" customFormat="1">
      <c r="A8" s="65"/>
      <c r="B8" s="69" t="s">
        <v>202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</row>
    <row r="9" spans="1:24" s="64" customFormat="1">
      <c r="A9" s="65"/>
      <c r="B9" s="668" t="s">
        <v>203</v>
      </c>
      <c r="C9" s="668"/>
      <c r="D9" s="668"/>
      <c r="E9" s="668"/>
      <c r="F9" s="668"/>
      <c r="G9" s="668"/>
      <c r="H9" s="668"/>
      <c r="I9" s="668"/>
      <c r="J9" s="668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</row>
    <row r="10" spans="1:24" s="64" customFormat="1">
      <c r="A10" s="65"/>
      <c r="B10" s="65"/>
      <c r="D10" s="66"/>
      <c r="E10" s="66"/>
    </row>
    <row r="11" spans="1:24" s="64" customFormat="1">
      <c r="A11" s="658" t="s">
        <v>204</v>
      </c>
      <c r="B11" s="658"/>
      <c r="C11" s="658"/>
      <c r="D11" s="658"/>
      <c r="E11" s="658"/>
      <c r="F11" s="658"/>
      <c r="G11" s="658"/>
      <c r="H11" s="658"/>
      <c r="I11" s="658"/>
      <c r="J11" s="68"/>
      <c r="K11" s="68"/>
      <c r="L11" s="68"/>
      <c r="M11" s="68"/>
      <c r="N11" s="68"/>
      <c r="O11" s="68"/>
      <c r="P11" s="68"/>
      <c r="Q11" s="68"/>
      <c r="R11" s="68"/>
      <c r="S11" s="658"/>
      <c r="T11" s="658"/>
      <c r="U11" s="658"/>
      <c r="V11" s="658"/>
      <c r="W11" s="658"/>
    </row>
    <row r="12" spans="1:24" s="64" customFormat="1">
      <c r="A12" s="657" t="s">
        <v>205</v>
      </c>
      <c r="B12" s="657"/>
      <c r="C12" s="657"/>
      <c r="D12" s="657"/>
      <c r="E12" s="657"/>
      <c r="F12" s="657"/>
      <c r="G12" s="657"/>
      <c r="H12" s="657"/>
      <c r="I12" s="657"/>
      <c r="J12" s="68"/>
      <c r="K12" s="68"/>
      <c r="L12" s="68"/>
      <c r="M12" s="68"/>
      <c r="N12" s="68"/>
      <c r="O12" s="68"/>
      <c r="P12" s="68"/>
      <c r="Q12" s="68"/>
      <c r="R12" s="68"/>
      <c r="S12" s="658"/>
      <c r="T12" s="658"/>
      <c r="U12" s="658"/>
      <c r="V12" s="658"/>
      <c r="W12" s="658"/>
    </row>
    <row r="13" spans="1:24" s="64" customFormat="1">
      <c r="A13" s="657" t="s">
        <v>206</v>
      </c>
      <c r="B13" s="657"/>
      <c r="C13" s="657"/>
      <c r="D13" s="657"/>
      <c r="E13" s="657"/>
      <c r="F13" s="657"/>
      <c r="G13" s="657"/>
      <c r="H13" s="657"/>
      <c r="I13" s="657"/>
      <c r="J13" s="68"/>
      <c r="K13" s="68"/>
      <c r="L13" s="68"/>
      <c r="M13" s="68"/>
      <c r="N13" s="68"/>
      <c r="O13" s="68"/>
      <c r="P13" s="68"/>
      <c r="Q13" s="68"/>
      <c r="R13" s="68"/>
      <c r="S13" s="658"/>
      <c r="T13" s="658"/>
      <c r="U13" s="658"/>
      <c r="V13" s="658"/>
      <c r="W13" s="658"/>
    </row>
    <row r="14" spans="1:24" s="70" customFormat="1">
      <c r="A14" s="65"/>
      <c r="B14" s="65"/>
      <c r="D14" s="66"/>
      <c r="E14" s="66"/>
    </row>
    <row r="15" spans="1:24" s="70" customFormat="1">
      <c r="A15" s="658" t="s">
        <v>207</v>
      </c>
      <c r="B15" s="658"/>
      <c r="C15" s="658"/>
      <c r="D15" s="658"/>
      <c r="E15" s="658"/>
      <c r="F15" s="658"/>
      <c r="G15" s="658"/>
      <c r="H15" s="658"/>
      <c r="I15" s="658"/>
      <c r="J15" s="68"/>
      <c r="K15" s="68"/>
      <c r="L15" s="68"/>
      <c r="M15" s="68"/>
      <c r="N15" s="68"/>
      <c r="O15" s="68"/>
      <c r="P15" s="68"/>
      <c r="Q15" s="68"/>
      <c r="R15" s="68"/>
      <c r="S15" s="658"/>
      <c r="T15" s="658"/>
      <c r="U15" s="658"/>
      <c r="V15" s="658"/>
      <c r="W15" s="658"/>
    </row>
    <row r="16" spans="1:24" s="64" customFormat="1">
      <c r="A16" s="657" t="s">
        <v>208</v>
      </c>
      <c r="B16" s="657"/>
      <c r="C16" s="657"/>
      <c r="D16" s="657"/>
      <c r="E16" s="657"/>
      <c r="F16" s="657"/>
      <c r="G16" s="657"/>
      <c r="H16" s="657"/>
      <c r="I16" s="657"/>
      <c r="J16" s="68"/>
      <c r="K16" s="68"/>
      <c r="L16" s="68"/>
      <c r="M16" s="68"/>
      <c r="N16" s="68"/>
      <c r="O16" s="68"/>
      <c r="P16" s="68"/>
      <c r="Q16" s="68"/>
      <c r="R16" s="68"/>
      <c r="S16" s="658"/>
      <c r="T16" s="658"/>
      <c r="U16" s="658"/>
      <c r="V16" s="658"/>
      <c r="W16" s="658"/>
    </row>
    <row r="17" spans="1:23" s="64" customFormat="1">
      <c r="A17" s="659" t="s">
        <v>209</v>
      </c>
      <c r="B17" s="659"/>
      <c r="C17" s="659"/>
      <c r="D17" s="659"/>
      <c r="E17" s="659"/>
      <c r="F17" s="659"/>
      <c r="G17" s="659"/>
      <c r="H17" s="659"/>
      <c r="I17" s="659"/>
      <c r="J17" s="68"/>
      <c r="K17" s="68"/>
      <c r="L17" s="68"/>
      <c r="M17" s="68"/>
      <c r="N17" s="68"/>
      <c r="O17" s="68"/>
      <c r="P17" s="68"/>
      <c r="Q17" s="68"/>
      <c r="R17" s="68"/>
      <c r="S17" s="658"/>
      <c r="T17" s="658"/>
      <c r="U17" s="658"/>
      <c r="V17" s="658"/>
      <c r="W17" s="658"/>
    </row>
    <row r="18" spans="1:23" s="70" customFormat="1">
      <c r="A18" s="71"/>
      <c r="B18" s="71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</row>
    <row r="19" spans="1:23" s="78" customFormat="1">
      <c r="A19" s="73" t="s">
        <v>210</v>
      </c>
      <c r="B19" s="74" t="s">
        <v>211</v>
      </c>
      <c r="C19" s="73" t="s">
        <v>212</v>
      </c>
      <c r="D19" s="637" t="s">
        <v>213</v>
      </c>
      <c r="E19" s="638"/>
      <c r="F19" s="660" t="s">
        <v>214</v>
      </c>
      <c r="G19" s="661"/>
      <c r="H19" s="662"/>
      <c r="I19" s="73" t="s">
        <v>215</v>
      </c>
      <c r="J19" s="59"/>
      <c r="K19" s="75"/>
      <c r="L19" s="76"/>
      <c r="M19" s="77"/>
      <c r="N19" s="76"/>
      <c r="O19" s="75"/>
      <c r="P19" s="75"/>
      <c r="Q19" s="77"/>
    </row>
    <row r="20" spans="1:23" s="59" customFormat="1">
      <c r="A20" s="79" t="s">
        <v>216</v>
      </c>
      <c r="B20" s="80" t="s">
        <v>217</v>
      </c>
      <c r="C20" s="81" t="s">
        <v>218</v>
      </c>
      <c r="D20" s="644" t="s">
        <v>219</v>
      </c>
      <c r="E20" s="645"/>
      <c r="F20" s="644" t="s">
        <v>220</v>
      </c>
      <c r="G20" s="646"/>
      <c r="H20" s="645"/>
      <c r="I20" s="82" t="s">
        <v>221</v>
      </c>
      <c r="K20" s="60"/>
      <c r="L20" s="83"/>
      <c r="M20" s="66"/>
      <c r="N20" s="83"/>
      <c r="O20" s="60"/>
      <c r="P20" s="60"/>
      <c r="Q20" s="84"/>
    </row>
    <row r="21" spans="1:23" s="59" customFormat="1">
      <c r="N21" s="83"/>
      <c r="O21" s="70"/>
      <c r="P21" s="60"/>
      <c r="Q21" s="84"/>
    </row>
    <row r="22" spans="1:23" s="78" customFormat="1">
      <c r="A22" s="637" t="s">
        <v>222</v>
      </c>
      <c r="B22" s="647"/>
      <c r="C22" s="638"/>
      <c r="D22" s="73" t="s">
        <v>223</v>
      </c>
      <c r="E22" s="73" t="s">
        <v>224</v>
      </c>
      <c r="F22" s="637" t="s">
        <v>225</v>
      </c>
      <c r="G22" s="647"/>
      <c r="H22" s="647"/>
      <c r="I22" s="638"/>
      <c r="J22" s="59"/>
      <c r="K22" s="75"/>
      <c r="L22" s="76"/>
      <c r="M22" s="85"/>
      <c r="N22" s="76"/>
      <c r="O22" s="86"/>
      <c r="P22" s="75"/>
      <c r="Q22" s="85"/>
    </row>
    <row r="23" spans="1:23" s="59" customFormat="1">
      <c r="A23" s="648" t="s">
        <v>226</v>
      </c>
      <c r="B23" s="649"/>
      <c r="C23" s="650"/>
      <c r="D23" s="81" t="s">
        <v>227</v>
      </c>
      <c r="E23" s="87" t="s">
        <v>228</v>
      </c>
      <c r="F23" s="644" t="s">
        <v>229</v>
      </c>
      <c r="G23" s="646"/>
      <c r="H23" s="646"/>
      <c r="I23" s="645"/>
      <c r="K23" s="60"/>
      <c r="L23" s="83"/>
      <c r="N23" s="83"/>
      <c r="O23" s="60"/>
      <c r="P23" s="60"/>
      <c r="Q23" s="84"/>
    </row>
    <row r="24" spans="1:23" s="59" customFormat="1">
      <c r="M24" s="84"/>
      <c r="N24" s="83"/>
      <c r="O24" s="60"/>
      <c r="P24" s="60"/>
      <c r="Q24" s="84"/>
    </row>
    <row r="25" spans="1:23" s="90" customFormat="1">
      <c r="A25" s="88"/>
      <c r="B25" s="88"/>
      <c r="C25" s="88"/>
      <c r="D25" s="88"/>
      <c r="E25" s="88"/>
      <c r="F25" s="88"/>
      <c r="G25" s="88"/>
      <c r="H25" s="88"/>
      <c r="I25" s="88"/>
      <c r="J25" s="89"/>
      <c r="K25" s="70"/>
      <c r="L25" s="69"/>
      <c r="M25" s="66"/>
      <c r="N25" s="69"/>
      <c r="O25" s="70"/>
      <c r="P25" s="70"/>
      <c r="Q25" s="66"/>
    </row>
    <row r="26" spans="1:23" s="90" customFormat="1">
      <c r="A26" s="91" t="s">
        <v>230</v>
      </c>
      <c r="B26" s="71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</row>
    <row r="27" spans="1:23" s="90" customFormat="1">
      <c r="A27" s="88"/>
      <c r="B27" s="88"/>
      <c r="C27" s="88"/>
      <c r="D27" s="88"/>
      <c r="E27" s="88"/>
      <c r="F27" s="88"/>
      <c r="G27" s="88"/>
      <c r="H27" s="88"/>
      <c r="I27" s="88"/>
      <c r="J27" s="89"/>
      <c r="K27" s="70"/>
      <c r="L27" s="69"/>
      <c r="M27" s="66"/>
      <c r="N27" s="69"/>
      <c r="O27" s="70"/>
      <c r="P27" s="70"/>
      <c r="Q27" s="66"/>
    </row>
    <row r="28" spans="1:23" s="78" customFormat="1">
      <c r="A28" s="92" t="s">
        <v>231</v>
      </c>
      <c r="B28" s="651" t="s">
        <v>232</v>
      </c>
      <c r="C28" s="652"/>
      <c r="D28" s="93" t="s">
        <v>233</v>
      </c>
      <c r="E28" s="637" t="s">
        <v>234</v>
      </c>
      <c r="F28" s="647"/>
      <c r="G28" s="647"/>
      <c r="H28" s="638"/>
      <c r="I28" s="94" t="s">
        <v>235</v>
      </c>
      <c r="J28" s="59"/>
      <c r="K28" s="75"/>
      <c r="L28" s="76"/>
      <c r="M28" s="85"/>
      <c r="N28" s="76"/>
      <c r="O28" s="75"/>
      <c r="P28" s="75"/>
      <c r="Q28" s="85"/>
    </row>
    <row r="29" spans="1:23" s="59" customFormat="1">
      <c r="A29" s="95" t="s">
        <v>236</v>
      </c>
      <c r="B29" s="653" t="s">
        <v>237</v>
      </c>
      <c r="C29" s="654"/>
      <c r="D29" s="96" t="s">
        <v>238</v>
      </c>
      <c r="E29" s="644" t="s">
        <v>239</v>
      </c>
      <c r="F29" s="646"/>
      <c r="G29" s="646"/>
      <c r="H29" s="645"/>
      <c r="I29" s="97">
        <v>44047</v>
      </c>
      <c r="K29" s="60"/>
      <c r="L29" s="83"/>
      <c r="M29" s="84"/>
      <c r="N29" s="83"/>
      <c r="O29" s="60"/>
      <c r="P29" s="60"/>
      <c r="Q29" s="84"/>
    </row>
    <row r="30" spans="1:23" s="90" customFormat="1">
      <c r="A30" s="88"/>
      <c r="B30" s="88"/>
      <c r="C30" s="88"/>
      <c r="D30" s="88"/>
      <c r="E30" s="88"/>
      <c r="F30" s="88"/>
      <c r="G30" s="88"/>
      <c r="H30" s="88"/>
      <c r="I30" s="88"/>
      <c r="J30" s="89"/>
      <c r="K30" s="70"/>
      <c r="L30" s="69"/>
      <c r="M30" s="66"/>
      <c r="N30" s="69"/>
      <c r="O30" s="70"/>
      <c r="P30" s="70"/>
      <c r="Q30" s="66"/>
    </row>
    <row r="31" spans="1:23" s="90" customFormat="1">
      <c r="A31" s="91" t="s">
        <v>240</v>
      </c>
      <c r="B31" s="71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</row>
    <row r="32" spans="1:23" s="90" customFormat="1">
      <c r="A32" s="88"/>
      <c r="B32" s="88"/>
      <c r="C32" s="88"/>
      <c r="D32" s="88"/>
      <c r="E32" s="88"/>
      <c r="F32" s="88"/>
      <c r="G32" s="88"/>
      <c r="H32" s="88"/>
      <c r="I32" s="88"/>
      <c r="J32" s="89"/>
      <c r="K32" s="70"/>
      <c r="L32" s="69"/>
      <c r="M32" s="66"/>
      <c r="N32" s="69"/>
      <c r="O32" s="70"/>
      <c r="P32" s="70"/>
      <c r="Q32" s="66"/>
    </row>
    <row r="33" spans="1:23" s="78" customFormat="1">
      <c r="A33" s="655" t="s">
        <v>241</v>
      </c>
      <c r="B33" s="656"/>
      <c r="C33" s="59"/>
      <c r="D33" s="59"/>
      <c r="E33" s="59"/>
      <c r="I33" s="59"/>
      <c r="J33" s="59"/>
      <c r="K33" s="75"/>
      <c r="L33" s="76"/>
      <c r="M33" s="85"/>
      <c r="N33" s="76"/>
      <c r="O33" s="75"/>
      <c r="P33" s="75"/>
      <c r="Q33" s="85"/>
    </row>
    <row r="34" spans="1:23" s="59" customFormat="1">
      <c r="A34" s="642" t="s">
        <v>242</v>
      </c>
      <c r="B34" s="643"/>
      <c r="F34" s="60"/>
      <c r="G34" s="60"/>
      <c r="H34" s="60"/>
      <c r="K34" s="60"/>
      <c r="L34" s="83"/>
      <c r="M34" s="84"/>
      <c r="N34" s="83"/>
      <c r="O34" s="60"/>
      <c r="P34" s="60"/>
      <c r="Q34" s="84"/>
    </row>
    <row r="35" spans="1:23" s="59" customFormat="1">
      <c r="A35" s="54"/>
      <c r="B35" s="54"/>
      <c r="C35" s="54"/>
      <c r="D35" s="98"/>
      <c r="E35" s="54"/>
      <c r="F35" s="54"/>
      <c r="H35" s="54"/>
      <c r="I35" s="54"/>
      <c r="J35" s="54"/>
      <c r="K35" s="60"/>
      <c r="L35" s="83"/>
      <c r="M35" s="84"/>
      <c r="N35" s="83"/>
      <c r="O35" s="60"/>
      <c r="P35" s="60"/>
      <c r="Q35" s="84"/>
    </row>
    <row r="36" spans="1:23" s="78" customFormat="1">
      <c r="A36" s="59"/>
      <c r="B36" s="59"/>
      <c r="C36" s="59"/>
      <c r="D36" s="59"/>
      <c r="E36" s="59"/>
      <c r="F36" s="59"/>
      <c r="G36" s="59"/>
      <c r="H36" s="59"/>
      <c r="I36" s="59"/>
      <c r="K36" s="75"/>
      <c r="L36" s="76"/>
      <c r="M36" s="85"/>
      <c r="N36" s="76"/>
      <c r="O36" s="75"/>
      <c r="P36" s="75"/>
      <c r="Q36" s="85"/>
    </row>
    <row r="37" spans="1:23" s="59" customFormat="1">
      <c r="J37" s="60"/>
      <c r="K37" s="60"/>
      <c r="L37" s="83"/>
      <c r="M37" s="84"/>
      <c r="N37" s="83"/>
      <c r="O37" s="60"/>
      <c r="P37" s="60"/>
      <c r="Q37" s="84"/>
    </row>
    <row r="38" spans="1:23" s="59" customFormat="1">
      <c r="A38" s="54"/>
      <c r="B38" s="54"/>
      <c r="C38" s="54"/>
      <c r="D38" s="98"/>
      <c r="E38" s="54"/>
      <c r="F38" s="54"/>
      <c r="G38" s="54"/>
      <c r="H38" s="54"/>
      <c r="I38" s="54"/>
      <c r="J38" s="54"/>
      <c r="K38" s="60"/>
      <c r="L38" s="83"/>
      <c r="M38" s="84"/>
      <c r="N38" s="83"/>
      <c r="O38" s="60"/>
      <c r="P38" s="60"/>
      <c r="Q38" s="84"/>
    </row>
    <row r="39" spans="1:23" s="59" customFormat="1">
      <c r="A39" s="91" t="s">
        <v>243</v>
      </c>
      <c r="B39" s="91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</row>
    <row r="40" spans="1:23" s="70" customFormat="1">
      <c r="A40" s="59"/>
      <c r="B40" s="59"/>
      <c r="C40" s="59"/>
      <c r="D40" s="99"/>
      <c r="E40" s="100"/>
      <c r="F40" s="100"/>
      <c r="G40" s="100"/>
      <c r="H40" s="100"/>
      <c r="I40" s="100"/>
      <c r="J40" s="100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</row>
    <row r="41" spans="1:23" s="70" customFormat="1">
      <c r="A41" s="59"/>
      <c r="B41" s="59"/>
      <c r="C41" s="59"/>
      <c r="D41" s="99"/>
      <c r="E41" s="100"/>
      <c r="F41" s="100"/>
      <c r="G41" s="100"/>
      <c r="H41" s="100"/>
      <c r="I41" s="100"/>
      <c r="J41" s="100"/>
      <c r="K41" s="101"/>
      <c r="L41" s="102"/>
      <c r="M41" s="101"/>
      <c r="N41" s="101"/>
      <c r="O41" s="101"/>
      <c r="P41" s="101"/>
      <c r="Q41" s="101"/>
      <c r="R41" s="102"/>
      <c r="S41" s="101"/>
      <c r="T41" s="101"/>
      <c r="U41" s="101"/>
      <c r="V41" s="101"/>
      <c r="W41" s="101"/>
    </row>
    <row r="42" spans="1:23" s="70" customFormat="1">
      <c r="A42" s="637" t="s">
        <v>244</v>
      </c>
      <c r="B42" s="638"/>
      <c r="C42" s="74" t="s">
        <v>194</v>
      </c>
      <c r="D42" s="74" t="s">
        <v>196</v>
      </c>
      <c r="E42" s="100"/>
      <c r="F42" s="100"/>
      <c r="G42" s="100"/>
      <c r="H42" s="100"/>
      <c r="I42" s="100"/>
      <c r="J42" s="100"/>
      <c r="K42" s="101"/>
      <c r="L42" s="102"/>
      <c r="M42" s="101"/>
      <c r="N42" s="101"/>
      <c r="O42" s="101"/>
      <c r="P42" s="101"/>
      <c r="Q42" s="101"/>
      <c r="R42" s="102"/>
      <c r="S42" s="101"/>
      <c r="T42" s="101"/>
      <c r="U42" s="101"/>
      <c r="V42" s="101"/>
      <c r="W42" s="101"/>
    </row>
    <row r="43" spans="1:23" s="70" customFormat="1">
      <c r="A43" s="639" t="s">
        <v>245</v>
      </c>
      <c r="B43" s="639"/>
      <c r="C43" s="103" t="s">
        <v>246</v>
      </c>
      <c r="D43" s="103" t="s">
        <v>247</v>
      </c>
      <c r="E43" s="100"/>
      <c r="F43" s="100"/>
      <c r="G43" s="100"/>
      <c r="H43" s="100"/>
      <c r="I43" s="100"/>
      <c r="J43" s="100"/>
      <c r="K43" s="101"/>
      <c r="L43" s="102"/>
      <c r="M43" s="101"/>
      <c r="N43" s="101"/>
      <c r="O43" s="101"/>
      <c r="P43" s="101"/>
      <c r="Q43" s="101"/>
      <c r="R43" s="102"/>
      <c r="S43" s="101"/>
      <c r="T43" s="101"/>
      <c r="U43" s="101"/>
      <c r="V43" s="101"/>
      <c r="W43" s="101"/>
    </row>
    <row r="44" spans="1:23" s="70" customFormat="1">
      <c r="C44" s="59"/>
      <c r="D44" s="99"/>
      <c r="E44" s="100"/>
      <c r="F44" s="100"/>
      <c r="G44" s="100"/>
      <c r="H44" s="100"/>
      <c r="I44" s="100"/>
      <c r="J44" s="100"/>
      <c r="K44" s="101"/>
      <c r="L44" s="102"/>
      <c r="M44" s="101"/>
      <c r="N44" s="101"/>
      <c r="O44" s="101"/>
      <c r="P44" s="101"/>
      <c r="Q44" s="101"/>
      <c r="R44" s="102"/>
      <c r="S44" s="101"/>
      <c r="T44" s="101"/>
      <c r="U44" s="101"/>
      <c r="V44" s="101"/>
      <c r="W44" s="101"/>
    </row>
    <row r="45" spans="1:23" s="70" customFormat="1">
      <c r="A45" s="65"/>
      <c r="B45" s="65"/>
      <c r="D45" s="99"/>
      <c r="E45" s="104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</row>
    <row r="46" spans="1:23" s="70" customFormat="1">
      <c r="A46" s="91" t="s">
        <v>248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</row>
    <row r="47" spans="1:23" s="70" customFormat="1">
      <c r="A47" s="65"/>
      <c r="B47" s="65"/>
      <c r="D47" s="99"/>
      <c r="E47" s="104"/>
    </row>
    <row r="48" spans="1:23" s="70" customFormat="1">
      <c r="A48" s="65"/>
      <c r="B48" s="65"/>
    </row>
    <row r="49" spans="1:8" s="70" customFormat="1">
      <c r="A49" s="640" t="s">
        <v>244</v>
      </c>
      <c r="B49" s="640"/>
      <c r="C49" s="74" t="s">
        <v>194</v>
      </c>
      <c r="D49" s="74" t="s">
        <v>196</v>
      </c>
      <c r="E49" s="104"/>
    </row>
    <row r="50" spans="1:8" s="70" customFormat="1">
      <c r="A50" s="639"/>
      <c r="B50" s="639"/>
      <c r="C50" s="103"/>
      <c r="D50" s="103"/>
      <c r="E50" s="104"/>
    </row>
    <row r="51" spans="1:8" s="70" customFormat="1">
      <c r="D51" s="99"/>
      <c r="E51" s="104"/>
    </row>
    <row r="52" spans="1:8" s="70" customFormat="1">
      <c r="A52" s="634" t="s">
        <v>249</v>
      </c>
      <c r="B52" s="634"/>
      <c r="C52" s="634"/>
      <c r="D52" s="634"/>
      <c r="E52" s="634"/>
      <c r="F52" s="634"/>
      <c r="G52" s="634"/>
      <c r="H52" s="634"/>
    </row>
    <row r="53" spans="1:8" s="70" customFormat="1">
      <c r="A53" s="635" t="s">
        <v>250</v>
      </c>
      <c r="B53" s="635"/>
      <c r="C53" s="635"/>
      <c r="D53" s="635"/>
      <c r="E53" s="635"/>
      <c r="F53" s="635"/>
      <c r="G53" s="635"/>
      <c r="H53" s="635"/>
    </row>
    <row r="54" spans="1:8" s="70" customFormat="1">
      <c r="A54" s="635" t="s">
        <v>251</v>
      </c>
      <c r="B54" s="635"/>
      <c r="C54" s="635"/>
      <c r="D54" s="635"/>
      <c r="E54" s="635"/>
      <c r="F54" s="635"/>
      <c r="G54" s="635"/>
      <c r="H54" s="635"/>
    </row>
    <row r="55" spans="1:8" s="70" customFormat="1">
      <c r="A55" s="635" t="s">
        <v>252</v>
      </c>
      <c r="B55" s="641"/>
      <c r="C55" s="641"/>
      <c r="D55" s="641"/>
      <c r="E55" s="641"/>
      <c r="F55" s="641"/>
      <c r="G55" s="641"/>
      <c r="H55" s="641"/>
    </row>
    <row r="56" spans="1:8" s="70" customFormat="1">
      <c r="A56" s="635" t="s">
        <v>253</v>
      </c>
      <c r="B56" s="635"/>
      <c r="C56" s="635"/>
      <c r="D56" s="635"/>
      <c r="E56" s="635"/>
      <c r="F56" s="635"/>
      <c r="G56" s="635"/>
      <c r="H56" s="635"/>
    </row>
    <row r="57" spans="1:8" s="70" customFormat="1">
      <c r="A57" s="635" t="s">
        <v>254</v>
      </c>
      <c r="B57" s="635"/>
      <c r="C57" s="635"/>
      <c r="D57" s="635"/>
      <c r="E57" s="635"/>
      <c r="F57" s="635"/>
      <c r="G57" s="635"/>
      <c r="H57" s="635"/>
    </row>
    <row r="58" spans="1:8" s="70" customFormat="1">
      <c r="A58" s="636" t="s">
        <v>255</v>
      </c>
      <c r="B58" s="636"/>
      <c r="C58" s="636"/>
      <c r="D58" s="636"/>
      <c r="E58" s="636"/>
      <c r="F58" s="636"/>
      <c r="G58" s="636"/>
      <c r="H58" s="636"/>
    </row>
    <row r="59" spans="1:8" s="70" customFormat="1">
      <c r="A59" s="635" t="s">
        <v>256</v>
      </c>
      <c r="B59" s="636"/>
      <c r="C59" s="636"/>
      <c r="D59" s="636"/>
      <c r="E59" s="636"/>
      <c r="F59" s="636"/>
      <c r="G59" s="636"/>
      <c r="H59" s="636"/>
    </row>
    <row r="60" spans="1:8" s="70" customFormat="1">
      <c r="A60" s="635" t="s">
        <v>257</v>
      </c>
      <c r="B60" s="636"/>
      <c r="C60" s="636"/>
      <c r="D60" s="636"/>
      <c r="E60" s="636"/>
      <c r="F60" s="636"/>
      <c r="G60" s="636"/>
      <c r="H60" s="636"/>
    </row>
    <row r="61" spans="1:8" s="70" customFormat="1"/>
    <row r="62" spans="1:8" s="70" customFormat="1">
      <c r="A62" s="634" t="s">
        <v>258</v>
      </c>
      <c r="B62" s="634"/>
      <c r="C62" s="634"/>
      <c r="D62" s="634"/>
      <c r="E62" s="634"/>
      <c r="F62" s="634"/>
      <c r="G62" s="634"/>
      <c r="H62" s="634"/>
    </row>
    <row r="63" spans="1:8" s="70" customFormat="1">
      <c r="A63" s="633" t="s">
        <v>259</v>
      </c>
      <c r="B63" s="633"/>
      <c r="C63" s="633"/>
      <c r="D63" s="633"/>
      <c r="E63" s="633"/>
      <c r="F63" s="633"/>
      <c r="G63" s="633"/>
      <c r="H63" s="633"/>
    </row>
    <row r="64" spans="1:8" s="70" customFormat="1">
      <c r="A64" s="633" t="s">
        <v>260</v>
      </c>
      <c r="B64" s="633"/>
      <c r="C64" s="633"/>
      <c r="D64" s="633"/>
      <c r="E64" s="633"/>
      <c r="F64" s="633"/>
      <c r="G64" s="633"/>
      <c r="H64" s="633"/>
    </row>
    <row r="65" spans="1:256" s="70" customFormat="1" ht="12.75" customHeight="1">
      <c r="A65" s="633" t="s">
        <v>261</v>
      </c>
      <c r="B65" s="633"/>
      <c r="C65" s="633"/>
      <c r="D65" s="633"/>
      <c r="E65" s="633"/>
      <c r="F65" s="633"/>
      <c r="G65" s="633"/>
      <c r="H65" s="633"/>
    </row>
    <row r="66" spans="1:256" s="70" customFormat="1">
      <c r="A66" s="633" t="s">
        <v>262</v>
      </c>
      <c r="B66" s="633"/>
      <c r="C66" s="633"/>
      <c r="D66" s="633"/>
      <c r="E66" s="633"/>
      <c r="F66" s="633"/>
      <c r="G66" s="633"/>
      <c r="H66" s="633"/>
    </row>
    <row r="67" spans="1:256" s="70" customFormat="1" ht="25.5" customHeight="1">
      <c r="A67" s="633" t="s">
        <v>263</v>
      </c>
      <c r="B67" s="633"/>
      <c r="C67" s="633"/>
      <c r="D67" s="633"/>
      <c r="E67" s="633"/>
      <c r="F67" s="633"/>
      <c r="G67" s="633"/>
      <c r="H67" s="633"/>
      <c r="I67" s="633"/>
      <c r="J67" s="633"/>
      <c r="K67" s="633"/>
      <c r="L67" s="633"/>
      <c r="M67" s="633"/>
      <c r="N67" s="633"/>
      <c r="O67" s="633"/>
      <c r="P67" s="633"/>
      <c r="Q67" s="633" t="s">
        <v>262</v>
      </c>
      <c r="R67" s="633"/>
      <c r="S67" s="633"/>
      <c r="T67" s="633"/>
      <c r="U67" s="633"/>
      <c r="V67" s="633"/>
      <c r="W67" s="633"/>
      <c r="X67" s="633"/>
      <c r="Y67" s="633" t="s">
        <v>262</v>
      </c>
      <c r="Z67" s="633"/>
      <c r="AA67" s="633"/>
      <c r="AB67" s="633"/>
      <c r="AC67" s="633"/>
      <c r="AD67" s="633"/>
      <c r="AE67" s="633"/>
      <c r="AF67" s="633"/>
      <c r="AG67" s="633" t="s">
        <v>262</v>
      </c>
      <c r="AH67" s="633"/>
      <c r="AI67" s="633"/>
      <c r="AJ67" s="633"/>
      <c r="AK67" s="633"/>
      <c r="AL67" s="633"/>
      <c r="AM67" s="633"/>
      <c r="AN67" s="633"/>
      <c r="AO67" s="633" t="s">
        <v>262</v>
      </c>
      <c r="AP67" s="633"/>
      <c r="AQ67" s="633"/>
      <c r="AR67" s="633"/>
      <c r="AS67" s="633"/>
      <c r="AT67" s="633"/>
      <c r="AU67" s="633"/>
      <c r="AV67" s="633"/>
      <c r="AW67" s="633" t="s">
        <v>262</v>
      </c>
      <c r="AX67" s="633"/>
      <c r="AY67" s="633"/>
      <c r="AZ67" s="633"/>
      <c r="BA67" s="633"/>
      <c r="BB67" s="633"/>
      <c r="BC67" s="633"/>
      <c r="BD67" s="633"/>
      <c r="BE67" s="633" t="s">
        <v>262</v>
      </c>
      <c r="BF67" s="633"/>
      <c r="BG67" s="633"/>
      <c r="BH67" s="633"/>
      <c r="BI67" s="633"/>
      <c r="BJ67" s="633"/>
      <c r="BK67" s="633"/>
      <c r="BL67" s="633"/>
      <c r="BM67" s="633" t="s">
        <v>262</v>
      </c>
      <c r="BN67" s="633"/>
      <c r="BO67" s="633"/>
      <c r="BP67" s="633"/>
      <c r="BQ67" s="633"/>
      <c r="BR67" s="633"/>
      <c r="BS67" s="633"/>
      <c r="BT67" s="633"/>
      <c r="BU67" s="633" t="s">
        <v>262</v>
      </c>
      <c r="BV67" s="633"/>
      <c r="BW67" s="633"/>
      <c r="BX67" s="633"/>
      <c r="BY67" s="633"/>
      <c r="BZ67" s="633"/>
      <c r="CA67" s="633"/>
      <c r="CB67" s="633"/>
      <c r="CC67" s="633" t="s">
        <v>262</v>
      </c>
      <c r="CD67" s="633"/>
      <c r="CE67" s="633"/>
      <c r="CF67" s="633"/>
      <c r="CG67" s="633"/>
      <c r="CH67" s="633"/>
      <c r="CI67" s="633"/>
      <c r="CJ67" s="633"/>
      <c r="CK67" s="633" t="s">
        <v>262</v>
      </c>
      <c r="CL67" s="633"/>
      <c r="CM67" s="633"/>
      <c r="CN67" s="633"/>
      <c r="CO67" s="633"/>
      <c r="CP67" s="633"/>
      <c r="CQ67" s="633"/>
      <c r="CR67" s="633"/>
      <c r="CS67" s="633" t="s">
        <v>262</v>
      </c>
      <c r="CT67" s="633"/>
      <c r="CU67" s="633"/>
      <c r="CV67" s="633"/>
      <c r="CW67" s="633"/>
      <c r="CX67" s="633"/>
      <c r="CY67" s="633"/>
      <c r="CZ67" s="633"/>
      <c r="DA67" s="633" t="s">
        <v>262</v>
      </c>
      <c r="DB67" s="633"/>
      <c r="DC67" s="633"/>
      <c r="DD67" s="633"/>
      <c r="DE67" s="633"/>
      <c r="DF67" s="633"/>
      <c r="DG67" s="633"/>
      <c r="DH67" s="633"/>
      <c r="DI67" s="633" t="s">
        <v>262</v>
      </c>
      <c r="DJ67" s="633"/>
      <c r="DK67" s="633"/>
      <c r="DL67" s="633"/>
      <c r="DM67" s="633"/>
      <c r="DN67" s="633"/>
      <c r="DO67" s="633"/>
      <c r="DP67" s="633"/>
      <c r="DQ67" s="633" t="s">
        <v>262</v>
      </c>
      <c r="DR67" s="633"/>
      <c r="DS67" s="633"/>
      <c r="DT67" s="633"/>
      <c r="DU67" s="633"/>
      <c r="DV67" s="633"/>
      <c r="DW67" s="633"/>
      <c r="DX67" s="633"/>
      <c r="DY67" s="633" t="s">
        <v>262</v>
      </c>
      <c r="DZ67" s="633"/>
      <c r="EA67" s="633"/>
      <c r="EB67" s="633"/>
      <c r="EC67" s="633"/>
      <c r="ED67" s="633"/>
      <c r="EE67" s="633"/>
      <c r="EF67" s="633"/>
      <c r="EG67" s="633" t="s">
        <v>262</v>
      </c>
      <c r="EH67" s="633"/>
      <c r="EI67" s="633"/>
      <c r="EJ67" s="633"/>
      <c r="EK67" s="633"/>
      <c r="EL67" s="633"/>
      <c r="EM67" s="633"/>
      <c r="EN67" s="633"/>
      <c r="EO67" s="633" t="s">
        <v>262</v>
      </c>
      <c r="EP67" s="633"/>
      <c r="EQ67" s="633"/>
      <c r="ER67" s="633"/>
      <c r="ES67" s="633"/>
      <c r="ET67" s="633"/>
      <c r="EU67" s="633"/>
      <c r="EV67" s="633"/>
      <c r="EW67" s="633" t="s">
        <v>262</v>
      </c>
      <c r="EX67" s="633"/>
      <c r="EY67" s="633"/>
      <c r="EZ67" s="633"/>
      <c r="FA67" s="633"/>
      <c r="FB67" s="633"/>
      <c r="FC67" s="633"/>
      <c r="FD67" s="633"/>
      <c r="FE67" s="633" t="s">
        <v>262</v>
      </c>
      <c r="FF67" s="633"/>
      <c r="FG67" s="633"/>
      <c r="FH67" s="633"/>
      <c r="FI67" s="633"/>
      <c r="FJ67" s="633"/>
      <c r="FK67" s="633"/>
      <c r="FL67" s="633"/>
      <c r="FM67" s="633" t="s">
        <v>262</v>
      </c>
      <c r="FN67" s="633"/>
      <c r="FO67" s="633"/>
      <c r="FP67" s="633"/>
      <c r="FQ67" s="633"/>
      <c r="FR67" s="633"/>
      <c r="FS67" s="633"/>
      <c r="FT67" s="633"/>
      <c r="FU67" s="633" t="s">
        <v>262</v>
      </c>
      <c r="FV67" s="633"/>
      <c r="FW67" s="633"/>
      <c r="FX67" s="633"/>
      <c r="FY67" s="633"/>
      <c r="FZ67" s="633"/>
      <c r="GA67" s="633"/>
      <c r="GB67" s="633"/>
      <c r="GC67" s="633" t="s">
        <v>262</v>
      </c>
      <c r="GD67" s="633"/>
      <c r="GE67" s="633"/>
      <c r="GF67" s="633"/>
      <c r="GG67" s="633"/>
      <c r="GH67" s="633"/>
      <c r="GI67" s="633"/>
      <c r="GJ67" s="633"/>
      <c r="GK67" s="633" t="s">
        <v>262</v>
      </c>
      <c r="GL67" s="633"/>
      <c r="GM67" s="633"/>
      <c r="GN67" s="633"/>
      <c r="GO67" s="633"/>
      <c r="GP67" s="633"/>
      <c r="GQ67" s="633"/>
      <c r="GR67" s="633"/>
      <c r="GS67" s="633" t="s">
        <v>262</v>
      </c>
      <c r="GT67" s="633"/>
      <c r="GU67" s="633"/>
      <c r="GV67" s="633"/>
      <c r="GW67" s="633"/>
      <c r="GX67" s="633"/>
      <c r="GY67" s="633"/>
      <c r="GZ67" s="633"/>
      <c r="HA67" s="633" t="s">
        <v>262</v>
      </c>
      <c r="HB67" s="633"/>
      <c r="HC67" s="633"/>
      <c r="HD67" s="633"/>
      <c r="HE67" s="633"/>
      <c r="HF67" s="633"/>
      <c r="HG67" s="633"/>
      <c r="HH67" s="633"/>
      <c r="HI67" s="633" t="s">
        <v>262</v>
      </c>
      <c r="HJ67" s="633"/>
      <c r="HK67" s="633"/>
      <c r="HL67" s="633"/>
      <c r="HM67" s="633"/>
      <c r="HN67" s="633"/>
      <c r="HO67" s="633"/>
      <c r="HP67" s="633"/>
      <c r="HQ67" s="633" t="s">
        <v>262</v>
      </c>
      <c r="HR67" s="633"/>
      <c r="HS67" s="633"/>
      <c r="HT67" s="633"/>
      <c r="HU67" s="633"/>
      <c r="HV67" s="633"/>
      <c r="HW67" s="633"/>
      <c r="HX67" s="633"/>
      <c r="HY67" s="633" t="s">
        <v>262</v>
      </c>
      <c r="HZ67" s="633"/>
      <c r="IA67" s="633"/>
      <c r="IB67" s="633"/>
      <c r="IC67" s="633"/>
      <c r="ID67" s="633"/>
      <c r="IE67" s="633"/>
      <c r="IF67" s="633"/>
      <c r="IG67" s="633" t="s">
        <v>262</v>
      </c>
      <c r="IH67" s="633"/>
      <c r="II67" s="633"/>
      <c r="IJ67" s="633"/>
      <c r="IK67" s="633"/>
      <c r="IL67" s="633"/>
      <c r="IM67" s="633"/>
      <c r="IN67" s="633"/>
      <c r="IO67" s="633" t="s">
        <v>262</v>
      </c>
      <c r="IP67" s="633"/>
      <c r="IQ67" s="633"/>
      <c r="IR67" s="633"/>
      <c r="IS67" s="633"/>
      <c r="IT67" s="633"/>
      <c r="IU67" s="633"/>
      <c r="IV67" s="633"/>
    </row>
    <row r="68" spans="1:256" s="70" customFormat="1"/>
    <row r="69" spans="1:256" s="70" customFormat="1">
      <c r="A69" s="634" t="s">
        <v>264</v>
      </c>
      <c r="B69" s="634"/>
      <c r="C69" s="634"/>
      <c r="D69" s="634"/>
      <c r="E69" s="634"/>
      <c r="F69" s="634"/>
      <c r="G69" s="634"/>
      <c r="H69" s="634"/>
    </row>
    <row r="70" spans="1:256" s="70" customFormat="1"/>
    <row r="71" spans="1:256" s="70" customFormat="1" ht="25.5" customHeight="1">
      <c r="A71" s="634" t="s">
        <v>265</v>
      </c>
      <c r="B71" s="634"/>
      <c r="C71" s="634"/>
      <c r="D71" s="634"/>
      <c r="E71" s="634"/>
      <c r="F71" s="634"/>
      <c r="G71" s="634"/>
      <c r="H71" s="634"/>
    </row>
    <row r="72" spans="1:256" s="70" customFormat="1"/>
    <row r="73" spans="1:256" s="90" customFormat="1" ht="12.75" customHeight="1">
      <c r="A73" s="65"/>
      <c r="B73" s="105"/>
      <c r="C73" s="105"/>
      <c r="D73" s="105"/>
      <c r="E73" s="105"/>
      <c r="F73" s="105"/>
      <c r="G73" s="105"/>
      <c r="H73" s="105"/>
      <c r="I73" s="105"/>
      <c r="J73" s="105"/>
      <c r="K73" s="70"/>
      <c r="L73" s="70"/>
      <c r="M73" s="66"/>
      <c r="N73" s="69"/>
      <c r="O73" s="70"/>
      <c r="P73" s="70"/>
      <c r="Q73" s="66"/>
    </row>
    <row r="74" spans="1:256" s="90" customFormat="1" ht="12.75" customHeight="1">
      <c r="A74" s="65"/>
      <c r="B74" s="70"/>
      <c r="C74" s="70"/>
      <c r="D74" s="105"/>
      <c r="E74" s="105"/>
      <c r="F74" s="105"/>
      <c r="G74" s="105"/>
      <c r="H74" s="105"/>
      <c r="I74" s="105"/>
      <c r="J74" s="105"/>
      <c r="K74" s="70"/>
      <c r="L74" s="69"/>
      <c r="M74" s="66"/>
      <c r="N74" s="69"/>
      <c r="O74" s="70"/>
      <c r="P74" s="70"/>
      <c r="Q74" s="66"/>
    </row>
    <row r="75" spans="1:256" s="59" customFormat="1">
      <c r="A75" s="106"/>
      <c r="B75" s="60"/>
      <c r="C75" s="60"/>
      <c r="D75" s="84"/>
      <c r="E75" s="60"/>
      <c r="F75" s="60"/>
      <c r="G75" s="60"/>
      <c r="H75" s="60"/>
      <c r="I75" s="60"/>
      <c r="J75" s="60"/>
      <c r="K75" s="60"/>
      <c r="L75" s="83"/>
      <c r="M75" s="84"/>
      <c r="N75" s="83"/>
      <c r="O75" s="60"/>
      <c r="P75" s="60"/>
      <c r="Q75" s="84"/>
    </row>
    <row r="76" spans="1:256" s="59" customFormat="1">
      <c r="A76" s="106"/>
      <c r="B76" s="60"/>
      <c r="C76" s="60"/>
      <c r="D76" s="84"/>
      <c r="E76" s="60"/>
      <c r="F76" s="60"/>
      <c r="G76" s="60"/>
      <c r="H76" s="60"/>
      <c r="I76" s="60"/>
      <c r="J76" s="60"/>
      <c r="K76" s="60"/>
      <c r="L76" s="60"/>
      <c r="M76" s="84"/>
      <c r="N76" s="83"/>
      <c r="O76" s="60"/>
      <c r="P76" s="60"/>
      <c r="Q76" s="84"/>
    </row>
    <row r="77" spans="1:256" s="59" customFormat="1">
      <c r="A77" s="106"/>
      <c r="B77" s="60"/>
      <c r="C77" s="60"/>
      <c r="D77" s="84"/>
      <c r="E77" s="60"/>
      <c r="F77" s="60"/>
      <c r="G77" s="60"/>
      <c r="H77" s="60"/>
      <c r="I77" s="60"/>
      <c r="J77" s="60"/>
      <c r="K77" s="60"/>
      <c r="L77" s="83"/>
      <c r="M77" s="84"/>
      <c r="N77" s="83"/>
      <c r="O77" s="60"/>
      <c r="P77" s="60"/>
      <c r="Q77" s="66"/>
    </row>
    <row r="78" spans="1:256" s="59" customFormat="1">
      <c r="A78" s="106"/>
      <c r="B78" s="60"/>
      <c r="C78" s="60"/>
      <c r="D78" s="84"/>
      <c r="E78" s="60"/>
      <c r="F78" s="60"/>
      <c r="G78" s="60"/>
      <c r="H78" s="60"/>
      <c r="I78" s="60"/>
      <c r="J78" s="60"/>
      <c r="K78" s="60"/>
      <c r="L78" s="83"/>
      <c r="M78" s="66"/>
      <c r="N78" s="83"/>
      <c r="O78" s="70"/>
      <c r="P78" s="60"/>
      <c r="Q78" s="66"/>
    </row>
    <row r="79" spans="1:256" s="59" customFormat="1">
      <c r="A79" s="106"/>
      <c r="B79" s="60"/>
      <c r="C79" s="60"/>
      <c r="D79" s="84"/>
      <c r="E79" s="60"/>
      <c r="F79" s="60"/>
      <c r="G79" s="60"/>
      <c r="H79" s="60"/>
      <c r="I79" s="60"/>
      <c r="J79" s="60"/>
      <c r="K79" s="60"/>
      <c r="L79" s="83"/>
      <c r="M79" s="66"/>
      <c r="N79" s="83"/>
      <c r="O79" s="60"/>
      <c r="P79" s="60"/>
      <c r="Q79" s="66"/>
    </row>
    <row r="80" spans="1:256" s="59" customFormat="1">
      <c r="A80" s="106"/>
      <c r="B80" s="60"/>
      <c r="C80" s="60"/>
      <c r="D80" s="84"/>
      <c r="E80" s="60"/>
      <c r="F80" s="60"/>
      <c r="G80" s="60"/>
      <c r="H80" s="60"/>
      <c r="I80" s="60"/>
      <c r="J80" s="60"/>
      <c r="K80" s="60"/>
      <c r="L80" s="60"/>
      <c r="M80" s="66"/>
      <c r="N80" s="83"/>
      <c r="O80" s="70"/>
      <c r="P80" s="60"/>
      <c r="Q80" s="66"/>
    </row>
    <row r="81" spans="1:17" s="59" customFormat="1">
      <c r="A81" s="106"/>
      <c r="B81" s="60"/>
      <c r="C81" s="60"/>
      <c r="D81" s="84"/>
      <c r="E81" s="60"/>
      <c r="F81" s="60"/>
      <c r="G81" s="60"/>
      <c r="H81" s="60"/>
      <c r="I81" s="60"/>
      <c r="J81" s="60"/>
      <c r="K81" s="60"/>
      <c r="L81" s="83"/>
      <c r="M81" s="66"/>
      <c r="N81" s="83"/>
      <c r="O81" s="60"/>
      <c r="P81" s="60"/>
      <c r="Q81" s="66"/>
    </row>
    <row r="82" spans="1:17" s="59" customFormat="1">
      <c r="A82" s="106"/>
      <c r="B82" s="60"/>
      <c r="C82" s="60"/>
      <c r="D82" s="84"/>
      <c r="E82" s="60"/>
      <c r="F82" s="60"/>
      <c r="G82" s="60"/>
      <c r="H82" s="60"/>
      <c r="I82" s="60"/>
      <c r="J82" s="60"/>
      <c r="K82" s="60"/>
      <c r="L82" s="83"/>
      <c r="M82" s="66"/>
      <c r="N82" s="83"/>
      <c r="O82" s="60"/>
      <c r="P82" s="60"/>
      <c r="Q82" s="66"/>
    </row>
    <row r="83" spans="1:17" s="59" customFormat="1">
      <c r="A83" s="106"/>
      <c r="B83" s="60"/>
      <c r="C83" s="60"/>
      <c r="D83" s="84"/>
      <c r="E83" s="60"/>
      <c r="F83" s="60"/>
      <c r="G83" s="60"/>
      <c r="H83" s="60"/>
      <c r="I83" s="60"/>
      <c r="J83" s="60"/>
      <c r="K83" s="60"/>
      <c r="L83" s="83"/>
      <c r="M83" s="66"/>
      <c r="N83" s="83"/>
      <c r="O83" s="60"/>
      <c r="P83" s="60"/>
      <c r="Q83" s="66"/>
    </row>
    <row r="84" spans="1:17" s="59" customFormat="1">
      <c r="A84" s="106"/>
      <c r="B84" s="60"/>
      <c r="C84" s="60"/>
      <c r="D84" s="84"/>
      <c r="E84" s="60"/>
      <c r="F84" s="60"/>
      <c r="G84" s="60"/>
      <c r="H84" s="60"/>
      <c r="I84" s="60"/>
      <c r="J84" s="60"/>
      <c r="K84" s="60"/>
      <c r="L84" s="83"/>
      <c r="M84" s="66"/>
      <c r="N84" s="83"/>
      <c r="O84" s="60"/>
      <c r="P84" s="60"/>
      <c r="Q84" s="66"/>
    </row>
    <row r="85" spans="1:17" s="59" customFormat="1">
      <c r="A85" s="106"/>
      <c r="B85" s="60"/>
      <c r="C85" s="60"/>
      <c r="D85" s="84"/>
      <c r="E85" s="60"/>
      <c r="F85" s="60"/>
      <c r="G85" s="60"/>
      <c r="H85" s="60"/>
      <c r="I85" s="60"/>
      <c r="J85" s="60"/>
      <c r="K85" s="60"/>
      <c r="L85" s="83"/>
      <c r="M85" s="66"/>
      <c r="N85" s="83"/>
      <c r="O85" s="60"/>
      <c r="P85" s="60"/>
      <c r="Q85" s="66"/>
    </row>
    <row r="86" spans="1:17" s="59" customFormat="1">
      <c r="A86" s="106"/>
      <c r="B86" s="60"/>
      <c r="C86" s="60"/>
      <c r="D86" s="84"/>
      <c r="E86" s="60"/>
      <c r="F86" s="60"/>
      <c r="G86" s="60"/>
      <c r="H86" s="60"/>
      <c r="I86" s="60"/>
      <c r="J86" s="60"/>
      <c r="K86" s="60"/>
      <c r="L86" s="60"/>
      <c r="M86" s="66"/>
      <c r="N86" s="83"/>
      <c r="O86" s="60"/>
      <c r="P86" s="60"/>
      <c r="Q86" s="84"/>
    </row>
    <row r="87" spans="1:17" s="59" customFormat="1">
      <c r="A87" s="106"/>
      <c r="B87" s="60"/>
      <c r="C87" s="60"/>
      <c r="D87" s="84"/>
      <c r="E87" s="60"/>
      <c r="F87" s="60"/>
      <c r="G87" s="60"/>
      <c r="H87" s="60"/>
      <c r="I87" s="60"/>
      <c r="J87" s="60"/>
      <c r="K87" s="60"/>
      <c r="L87" s="83"/>
      <c r="M87" s="84"/>
      <c r="N87" s="83"/>
      <c r="O87" s="60"/>
      <c r="P87" s="60"/>
      <c r="Q87" s="84"/>
    </row>
    <row r="88" spans="1:17" s="59" customFormat="1">
      <c r="A88" s="106"/>
      <c r="B88" s="60"/>
      <c r="C88" s="60"/>
      <c r="D88" s="84"/>
      <c r="E88" s="60"/>
      <c r="F88" s="60"/>
      <c r="G88" s="60"/>
      <c r="H88" s="60"/>
      <c r="I88" s="60"/>
      <c r="J88" s="60"/>
      <c r="K88" s="60"/>
      <c r="L88" s="60"/>
      <c r="M88" s="84"/>
      <c r="N88" s="83"/>
      <c r="O88" s="60"/>
      <c r="P88" s="60"/>
      <c r="Q88" s="66"/>
    </row>
    <row r="89" spans="1:17" s="59" customFormat="1">
      <c r="A89" s="106"/>
      <c r="B89" s="60"/>
      <c r="C89" s="60"/>
      <c r="D89" s="84"/>
      <c r="E89" s="60"/>
      <c r="F89" s="60"/>
      <c r="G89" s="60"/>
      <c r="H89" s="60"/>
      <c r="I89" s="60"/>
      <c r="J89" s="60"/>
      <c r="K89" s="60"/>
      <c r="L89" s="83"/>
      <c r="M89" s="66"/>
      <c r="N89" s="83"/>
      <c r="O89" s="60"/>
      <c r="P89" s="60"/>
      <c r="Q89" s="66"/>
    </row>
    <row r="90" spans="1:17" s="59" customFormat="1">
      <c r="A90" s="106"/>
      <c r="B90" s="60"/>
      <c r="C90" s="60"/>
      <c r="D90" s="84"/>
      <c r="E90" s="60"/>
      <c r="F90" s="60"/>
      <c r="G90" s="60"/>
      <c r="H90" s="60"/>
      <c r="I90" s="60"/>
      <c r="J90" s="60"/>
      <c r="K90" s="60"/>
      <c r="L90" s="60"/>
      <c r="M90" s="66"/>
      <c r="N90" s="83"/>
      <c r="O90" s="60"/>
      <c r="P90" s="60"/>
      <c r="Q90" s="66"/>
    </row>
    <row r="91" spans="1:17" s="59" customFormat="1">
      <c r="A91" s="106"/>
      <c r="B91" s="60"/>
      <c r="C91" s="60"/>
      <c r="D91" s="84"/>
      <c r="E91" s="60"/>
      <c r="F91" s="60"/>
      <c r="G91" s="60"/>
      <c r="H91" s="60"/>
      <c r="I91" s="60"/>
      <c r="J91" s="60"/>
      <c r="K91" s="60"/>
      <c r="L91" s="60"/>
      <c r="M91" s="66"/>
      <c r="N91" s="83"/>
      <c r="O91" s="16"/>
      <c r="P91" s="60"/>
      <c r="Q91" s="66"/>
    </row>
    <row r="92" spans="1:17" s="59" customFormat="1">
      <c r="A92" s="106"/>
      <c r="B92" s="60"/>
      <c r="C92" s="60"/>
      <c r="D92" s="84"/>
      <c r="E92" s="60"/>
      <c r="F92" s="60"/>
      <c r="G92" s="60"/>
      <c r="H92" s="60"/>
      <c r="I92" s="60"/>
      <c r="J92" s="60"/>
      <c r="K92" s="60"/>
      <c r="L92" s="60"/>
      <c r="M92" s="66"/>
      <c r="N92" s="83"/>
      <c r="O92" s="16"/>
      <c r="P92" s="60"/>
      <c r="Q92" s="66"/>
    </row>
    <row r="93" spans="1:17" s="59" customFormat="1">
      <c r="A93" s="106"/>
      <c r="B93" s="60"/>
      <c r="C93" s="60"/>
      <c r="D93" s="84"/>
      <c r="E93" s="60"/>
      <c r="F93" s="60"/>
      <c r="G93" s="60"/>
      <c r="H93" s="60"/>
      <c r="I93" s="60"/>
      <c r="J93" s="60"/>
      <c r="K93" s="60"/>
      <c r="L93" s="60"/>
      <c r="M93" s="66"/>
      <c r="N93" s="83"/>
      <c r="O93" s="16"/>
      <c r="P93" s="60"/>
      <c r="Q93" s="84"/>
    </row>
    <row r="94" spans="1:17" s="59" customFormat="1">
      <c r="A94" s="106"/>
      <c r="B94" s="60"/>
      <c r="C94" s="60"/>
      <c r="D94" s="84"/>
      <c r="E94" s="60"/>
      <c r="F94" s="60"/>
      <c r="G94" s="60"/>
      <c r="H94" s="60"/>
      <c r="I94" s="60"/>
      <c r="J94" s="60"/>
      <c r="K94" s="60"/>
      <c r="L94" s="60"/>
      <c r="M94" s="84"/>
      <c r="N94" s="83"/>
      <c r="O94" s="16"/>
      <c r="P94" s="60"/>
      <c r="Q94" s="84"/>
    </row>
    <row r="95" spans="1:17" s="59" customFormat="1">
      <c r="A95" s="106"/>
      <c r="B95" s="60"/>
      <c r="C95" s="60"/>
      <c r="D95" s="84"/>
      <c r="E95" s="60"/>
      <c r="F95" s="60"/>
      <c r="G95" s="60"/>
      <c r="H95" s="60"/>
      <c r="I95" s="60"/>
      <c r="J95" s="60"/>
      <c r="K95" s="60"/>
      <c r="L95" s="83"/>
      <c r="M95" s="84"/>
      <c r="N95" s="83"/>
      <c r="O95" s="16"/>
      <c r="P95" s="60"/>
      <c r="Q95" s="84"/>
    </row>
    <row r="96" spans="1:17" s="59" customFormat="1">
      <c r="A96" s="106"/>
      <c r="B96" s="60"/>
      <c r="C96" s="60"/>
      <c r="D96" s="84"/>
      <c r="E96" s="60"/>
      <c r="F96" s="60"/>
      <c r="G96" s="60"/>
      <c r="H96" s="60"/>
      <c r="I96" s="60"/>
      <c r="J96" s="60"/>
      <c r="K96" s="60"/>
      <c r="L96" s="83"/>
      <c r="M96" s="84"/>
      <c r="N96" s="83"/>
      <c r="O96" s="16"/>
      <c r="P96" s="60"/>
      <c r="Q96" s="84"/>
    </row>
    <row r="97" spans="1:17" s="59" customFormat="1">
      <c r="A97" s="106"/>
      <c r="B97" s="60"/>
      <c r="C97" s="60"/>
      <c r="D97" s="84"/>
      <c r="E97" s="60"/>
      <c r="F97" s="60"/>
      <c r="G97" s="60"/>
      <c r="H97" s="60"/>
      <c r="I97" s="60"/>
      <c r="J97" s="60"/>
      <c r="K97" s="60"/>
      <c r="L97" s="60"/>
      <c r="M97" s="84"/>
      <c r="N97" s="83"/>
      <c r="O97" s="16"/>
      <c r="P97" s="60"/>
      <c r="Q97" s="84"/>
    </row>
    <row r="98" spans="1:17" s="59" customFormat="1">
      <c r="A98" s="106"/>
      <c r="B98" s="60"/>
      <c r="C98" s="60"/>
      <c r="D98" s="84"/>
      <c r="E98" s="60"/>
      <c r="F98" s="60"/>
      <c r="G98" s="60"/>
      <c r="H98" s="60"/>
      <c r="I98" s="60"/>
      <c r="J98" s="60"/>
      <c r="K98" s="60"/>
      <c r="L98" s="60"/>
      <c r="M98" s="84"/>
      <c r="N98" s="83"/>
      <c r="O98" s="16"/>
      <c r="P98" s="60"/>
      <c r="Q98" s="84"/>
    </row>
    <row r="99" spans="1:17" s="59" customFormat="1">
      <c r="A99" s="106"/>
      <c r="B99" s="60"/>
      <c r="C99" s="60"/>
      <c r="D99" s="84"/>
      <c r="E99" s="60"/>
      <c r="F99" s="60"/>
      <c r="G99" s="60"/>
      <c r="H99" s="60"/>
      <c r="I99" s="60"/>
      <c r="J99" s="60"/>
      <c r="K99" s="60"/>
      <c r="L99" s="83"/>
    </row>
    <row r="100" spans="1:17" s="59" customFormat="1">
      <c r="A100" s="106"/>
      <c r="B100" s="60"/>
      <c r="C100" s="60"/>
      <c r="D100" s="84"/>
      <c r="E100" s="60"/>
      <c r="F100" s="60"/>
      <c r="G100" s="60"/>
      <c r="H100" s="60"/>
      <c r="I100" s="60"/>
      <c r="J100" s="60"/>
      <c r="K100" s="60"/>
      <c r="L100" s="83"/>
    </row>
    <row r="101" spans="1:17" s="59" customFormat="1">
      <c r="A101" s="106"/>
      <c r="C101" s="60"/>
      <c r="D101" s="107"/>
    </row>
    <row r="102" spans="1:17" s="59" customFormat="1">
      <c r="A102" s="108"/>
      <c r="C102" s="60"/>
      <c r="D102" s="107"/>
    </row>
    <row r="103" spans="1:17" s="59" customFormat="1">
      <c r="A103" s="108"/>
      <c r="C103" s="60"/>
      <c r="D103" s="107"/>
    </row>
    <row r="104" spans="1:17" s="59" customFormat="1">
      <c r="A104" s="108"/>
      <c r="C104" s="60"/>
      <c r="D104" s="107"/>
    </row>
    <row r="105" spans="1:17" s="59" customFormat="1">
      <c r="A105" s="108"/>
      <c r="C105" s="60"/>
      <c r="D105" s="107"/>
    </row>
    <row r="106" spans="1:17" s="59" customFormat="1">
      <c r="A106" s="108"/>
      <c r="C106" s="60"/>
      <c r="D106" s="107"/>
    </row>
    <row r="107" spans="1:17" s="59" customFormat="1">
      <c r="A107" s="108"/>
      <c r="C107" s="60"/>
      <c r="D107" s="107"/>
    </row>
    <row r="108" spans="1:17" s="59" customFormat="1">
      <c r="A108" s="108"/>
      <c r="C108" s="60"/>
      <c r="D108" s="107"/>
    </row>
    <row r="109" spans="1:17" s="59" customFormat="1">
      <c r="A109" s="108"/>
      <c r="C109" s="60"/>
      <c r="D109" s="107"/>
    </row>
    <row r="110" spans="1:17" s="59" customFormat="1">
      <c r="A110" s="108"/>
      <c r="C110" s="60"/>
      <c r="D110" s="107"/>
    </row>
    <row r="111" spans="1:17" s="59" customFormat="1">
      <c r="A111" s="108"/>
      <c r="C111" s="60"/>
      <c r="D111" s="107"/>
    </row>
    <row r="112" spans="1:17" s="59" customFormat="1">
      <c r="A112" s="108"/>
      <c r="C112" s="60"/>
      <c r="D112" s="107"/>
    </row>
    <row r="113" spans="1:4" s="59" customFormat="1">
      <c r="A113" s="108"/>
      <c r="C113" s="60"/>
      <c r="D113" s="107"/>
    </row>
    <row r="114" spans="1:4" s="59" customFormat="1">
      <c r="A114" s="108"/>
      <c r="C114" s="60"/>
      <c r="D114" s="107"/>
    </row>
    <row r="115" spans="1:4" s="59" customFormat="1">
      <c r="A115" s="108"/>
      <c r="C115" s="60"/>
      <c r="D115" s="107"/>
    </row>
    <row r="116" spans="1:4" s="59" customFormat="1">
      <c r="A116" s="108"/>
      <c r="C116" s="60"/>
      <c r="D116" s="107"/>
    </row>
    <row r="117" spans="1:4" s="59" customFormat="1">
      <c r="A117" s="108"/>
      <c r="C117" s="60"/>
      <c r="D117" s="107"/>
    </row>
    <row r="118" spans="1:4" s="59" customFormat="1">
      <c r="A118" s="108"/>
      <c r="C118" s="60"/>
      <c r="D118" s="107"/>
    </row>
    <row r="119" spans="1:4" s="59" customFormat="1">
      <c r="A119" s="108"/>
      <c r="C119" s="60"/>
      <c r="D119" s="107"/>
    </row>
    <row r="120" spans="1:4" s="59" customFormat="1">
      <c r="A120" s="108"/>
      <c r="C120" s="60"/>
      <c r="D120" s="107"/>
    </row>
    <row r="121" spans="1:4" s="59" customFormat="1">
      <c r="A121" s="108"/>
      <c r="C121" s="60"/>
      <c r="D121" s="107"/>
    </row>
    <row r="122" spans="1:4" s="59" customFormat="1">
      <c r="A122" s="108"/>
      <c r="C122" s="60"/>
      <c r="D122" s="107"/>
    </row>
    <row r="123" spans="1:4" s="59" customFormat="1">
      <c r="A123" s="108"/>
      <c r="C123" s="60"/>
      <c r="D123" s="107"/>
    </row>
    <row r="124" spans="1:4" s="59" customFormat="1">
      <c r="A124" s="108"/>
      <c r="C124" s="60"/>
      <c r="D124" s="107"/>
    </row>
    <row r="125" spans="1:4" s="59" customFormat="1">
      <c r="A125" s="108"/>
      <c r="C125" s="60"/>
      <c r="D125" s="107"/>
    </row>
    <row r="126" spans="1:4" s="59" customFormat="1">
      <c r="A126" s="108"/>
      <c r="C126" s="60"/>
      <c r="D126" s="107"/>
    </row>
    <row r="127" spans="1:4" s="59" customFormat="1">
      <c r="A127" s="108"/>
      <c r="C127" s="60"/>
      <c r="D127" s="107"/>
    </row>
    <row r="128" spans="1:4" s="59" customFormat="1">
      <c r="A128" s="108"/>
      <c r="C128" s="60"/>
      <c r="D128" s="107"/>
    </row>
    <row r="129" spans="1:4" s="59" customFormat="1">
      <c r="A129" s="108"/>
      <c r="C129" s="60"/>
      <c r="D129" s="107"/>
    </row>
    <row r="130" spans="1:4" s="59" customFormat="1">
      <c r="A130" s="108"/>
      <c r="C130" s="60"/>
      <c r="D130" s="107"/>
    </row>
    <row r="131" spans="1:4" s="59" customFormat="1">
      <c r="A131" s="108"/>
      <c r="C131" s="60"/>
      <c r="D131" s="107"/>
    </row>
    <row r="132" spans="1:4" s="59" customFormat="1">
      <c r="A132" s="108"/>
      <c r="C132" s="60"/>
      <c r="D132" s="107"/>
    </row>
    <row r="133" spans="1:4" s="59" customFormat="1">
      <c r="A133" s="108"/>
      <c r="C133" s="60"/>
      <c r="D133" s="107"/>
    </row>
    <row r="134" spans="1:4" s="59" customFormat="1">
      <c r="A134" s="108"/>
      <c r="C134" s="60"/>
      <c r="D134" s="107"/>
    </row>
    <row r="135" spans="1:4" s="59" customFormat="1">
      <c r="A135" s="108"/>
      <c r="C135" s="60"/>
      <c r="D135" s="107"/>
    </row>
    <row r="136" spans="1:4" s="59" customFormat="1">
      <c r="A136" s="108"/>
      <c r="C136" s="60"/>
      <c r="D136" s="107"/>
    </row>
    <row r="137" spans="1:4" s="59" customFormat="1">
      <c r="A137" s="108"/>
      <c r="C137" s="60"/>
      <c r="D137" s="107"/>
    </row>
    <row r="138" spans="1:4" s="59" customFormat="1">
      <c r="A138" s="108"/>
      <c r="C138" s="60"/>
      <c r="D138" s="107"/>
    </row>
    <row r="139" spans="1:4" s="59" customFormat="1">
      <c r="A139" s="108"/>
      <c r="C139" s="60"/>
      <c r="D139" s="107"/>
    </row>
    <row r="140" spans="1:4" s="59" customFormat="1">
      <c r="A140" s="108"/>
      <c r="C140" s="60"/>
      <c r="D140" s="107"/>
    </row>
    <row r="141" spans="1:4" s="59" customFormat="1">
      <c r="A141" s="108"/>
      <c r="C141" s="60"/>
      <c r="D141" s="107"/>
    </row>
    <row r="142" spans="1:4" s="59" customFormat="1">
      <c r="A142" s="108"/>
      <c r="C142" s="60"/>
      <c r="D142" s="107"/>
    </row>
    <row r="143" spans="1:4" s="59" customFormat="1">
      <c r="A143" s="108"/>
      <c r="C143" s="60"/>
      <c r="D143" s="107"/>
    </row>
    <row r="144" spans="1:4" s="59" customFormat="1">
      <c r="A144" s="108"/>
      <c r="C144" s="60"/>
      <c r="D144" s="107"/>
    </row>
    <row r="145" spans="1:23" s="59" customFormat="1">
      <c r="A145" s="108"/>
      <c r="C145" s="60"/>
      <c r="D145" s="107"/>
    </row>
    <row r="146" spans="1:23" s="59" customFormat="1">
      <c r="A146" s="108"/>
      <c r="C146" s="60"/>
      <c r="D146" s="107"/>
    </row>
    <row r="147" spans="1:23" s="59" customFormat="1">
      <c r="A147" s="108"/>
      <c r="C147" s="60"/>
      <c r="D147" s="107"/>
    </row>
    <row r="148" spans="1:23" s="59" customFormat="1">
      <c r="A148" s="108"/>
      <c r="D148" s="107"/>
    </row>
    <row r="149" spans="1:23" s="70" customFormat="1">
      <c r="A149" s="71"/>
      <c r="B149" s="71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</row>
    <row r="150" spans="1:23" s="70" customFormat="1">
      <c r="A150" s="71"/>
      <c r="B150" s="71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</row>
    <row r="151" spans="1:23" s="70" customFormat="1">
      <c r="A151" s="71"/>
      <c r="B151" s="71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</row>
    <row r="152" spans="1:23" s="70" customFormat="1">
      <c r="A152" s="71"/>
      <c r="B152" s="71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</row>
    <row r="153" spans="1:23" s="70" customFormat="1">
      <c r="A153" s="71"/>
      <c r="B153" s="71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</row>
    <row r="154" spans="1:23" s="70" customFormat="1">
      <c r="A154" s="71"/>
      <c r="B154" s="71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</row>
    <row r="155" spans="1:23" s="70" customFormat="1">
      <c r="A155" s="71"/>
      <c r="B155" s="71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</row>
    <row r="156" spans="1:23" s="70" customFormat="1">
      <c r="A156" s="71"/>
      <c r="B156" s="71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</row>
    <row r="157" spans="1:23" s="70" customFormat="1">
      <c r="A157" s="71"/>
      <c r="B157" s="71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</row>
    <row r="158" spans="1:23" s="70" customFormat="1">
      <c r="A158" s="71"/>
      <c r="B158" s="71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</row>
    <row r="159" spans="1:23" s="70" customFormat="1">
      <c r="A159" s="71"/>
      <c r="B159" s="71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</row>
    <row r="160" spans="1:23" s="70" customFormat="1">
      <c r="A160" s="71"/>
      <c r="B160" s="71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</row>
    <row r="161" spans="1:23" s="70" customFormat="1">
      <c r="A161" s="71"/>
      <c r="B161" s="71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</row>
    <row r="162" spans="1:23" s="70" customFormat="1">
      <c r="A162" s="71"/>
      <c r="B162" s="71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</row>
    <row r="163" spans="1:23" s="70" customFormat="1">
      <c r="A163" s="71"/>
      <c r="B163" s="71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</row>
    <row r="164" spans="1:23" s="70" customFormat="1">
      <c r="A164" s="71"/>
      <c r="B164" s="71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</row>
    <row r="165" spans="1:23" s="70" customFormat="1">
      <c r="A165" s="71"/>
      <c r="B165" s="71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</row>
    <row r="166" spans="1:23" s="70" customFormat="1">
      <c r="A166" s="71"/>
      <c r="B166" s="71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</row>
    <row r="167" spans="1:23" s="70" customFormat="1">
      <c r="A167" s="71"/>
      <c r="B167" s="71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</row>
    <row r="168" spans="1:23" s="70" customFormat="1">
      <c r="A168" s="71"/>
      <c r="B168" s="71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</row>
    <row r="169" spans="1:23" s="70" customFormat="1">
      <c r="A169" s="71"/>
      <c r="B169" s="71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</row>
    <row r="170" spans="1:23" s="70" customFormat="1">
      <c r="A170" s="71"/>
      <c r="B170" s="71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</row>
    <row r="171" spans="1:23" s="70" customFormat="1">
      <c r="A171" s="71"/>
      <c r="B171" s="71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</row>
    <row r="172" spans="1:23" s="70" customFormat="1">
      <c r="A172" s="71"/>
      <c r="B172" s="71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</row>
    <row r="173" spans="1:23" s="70" customFormat="1">
      <c r="A173" s="71"/>
      <c r="B173" s="71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</row>
    <row r="174" spans="1:23" s="70" customFormat="1">
      <c r="A174" s="71"/>
      <c r="B174" s="71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</row>
    <row r="175" spans="1:23" s="70" customFormat="1">
      <c r="A175" s="71"/>
      <c r="B175" s="71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</row>
    <row r="176" spans="1:23" s="70" customFormat="1">
      <c r="A176" s="71"/>
      <c r="B176" s="71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</row>
    <row r="177" spans="1:23" s="70" customFormat="1">
      <c r="A177" s="71"/>
      <c r="B177" s="71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</row>
    <row r="178" spans="1:23" s="70" customFormat="1">
      <c r="A178" s="71"/>
      <c r="B178" s="71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</row>
    <row r="179" spans="1:23" s="70" customFormat="1">
      <c r="A179" s="71"/>
      <c r="B179" s="71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</row>
    <row r="180" spans="1:23" s="70" customFormat="1">
      <c r="A180" s="71"/>
      <c r="B180" s="71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</row>
    <row r="181" spans="1:23" s="70" customFormat="1">
      <c r="A181" s="71"/>
      <c r="B181" s="71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</row>
    <row r="182" spans="1:23" s="70" customFormat="1">
      <c r="A182" s="71"/>
      <c r="B182" s="71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</row>
    <row r="183" spans="1:23" s="70" customFormat="1">
      <c r="A183" s="71"/>
      <c r="B183" s="71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</row>
    <row r="184" spans="1:23" s="70" customFormat="1">
      <c r="A184" s="71"/>
      <c r="B184" s="71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</row>
    <row r="185" spans="1:23" s="70" customFormat="1">
      <c r="A185" s="71"/>
      <c r="B185" s="71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</row>
    <row r="186" spans="1:23" s="70" customFormat="1">
      <c r="A186" s="71"/>
      <c r="B186" s="71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</row>
    <row r="187" spans="1:23" s="70" customFormat="1">
      <c r="A187" s="71"/>
      <c r="B187" s="71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</row>
    <row r="188" spans="1:23" s="70" customFormat="1">
      <c r="A188" s="71"/>
      <c r="B188" s="71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</row>
    <row r="189" spans="1:23" s="70" customFormat="1">
      <c r="A189" s="71"/>
      <c r="B189" s="71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</row>
    <row r="190" spans="1:23" s="70" customFormat="1">
      <c r="A190" s="71"/>
      <c r="B190" s="71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</row>
    <row r="191" spans="1:23" s="70" customFormat="1">
      <c r="A191" s="71"/>
      <c r="B191" s="71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</row>
    <row r="192" spans="1:23" s="70" customFormat="1">
      <c r="A192" s="71"/>
      <c r="B192" s="71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</row>
    <row r="193" spans="1:23" s="70" customFormat="1">
      <c r="A193" s="71"/>
      <c r="B193" s="71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</row>
    <row r="194" spans="1:23">
      <c r="A194" s="109"/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10"/>
      <c r="W194" s="110"/>
    </row>
    <row r="195" spans="1:23">
      <c r="A195" s="111"/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2"/>
      <c r="W195" s="112"/>
    </row>
    <row r="196" spans="1:23">
      <c r="A196" s="113"/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</row>
    <row r="197" spans="1:23">
      <c r="A197" s="109"/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10"/>
      <c r="W197" s="110"/>
    </row>
    <row r="198" spans="1:23" s="70" customFormat="1">
      <c r="A198" s="112"/>
      <c r="B198" s="112"/>
      <c r="C198" s="111"/>
      <c r="D198" s="66"/>
      <c r="E198" s="66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</row>
    <row r="199" spans="1:23" s="70" customFormat="1">
      <c r="A199" s="71"/>
      <c r="B199" s="71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</row>
    <row r="200" spans="1:23" s="70" customFormat="1">
      <c r="A200" s="112"/>
      <c r="B200" s="112"/>
      <c r="C200" s="111"/>
      <c r="D200" s="66"/>
      <c r="E200" s="66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</row>
    <row r="201" spans="1:23" s="70" customFormat="1">
      <c r="A201" s="113"/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</row>
    <row r="202" spans="1:23" s="70" customFormat="1">
      <c r="A202" s="109"/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15"/>
      <c r="V202" s="115"/>
      <c r="W202" s="115"/>
    </row>
    <row r="203" spans="1:23" s="117" customFormat="1">
      <c r="A203" s="116"/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</row>
    <row r="204" spans="1:23" s="70" customFormat="1">
      <c r="A204" s="71"/>
      <c r="B204" s="71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</row>
    <row r="205" spans="1:23" s="70" customFormat="1">
      <c r="A205" s="71"/>
      <c r="B205" s="71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</row>
    <row r="206" spans="1:23" s="70" customFormat="1">
      <c r="A206" s="118"/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8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</row>
    <row r="207" spans="1:23" s="70" customFormat="1">
      <c r="A207" s="119"/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1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</row>
    <row r="208" spans="1:23" s="70" customFormat="1">
      <c r="A208" s="71"/>
      <c r="B208" s="71"/>
      <c r="C208" s="114"/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</row>
    <row r="209" spans="1:23" s="70" customFormat="1">
      <c r="A209" s="118"/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8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</row>
    <row r="210" spans="1:23" s="70" customFormat="1">
      <c r="A210" s="119"/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  <c r="L210" s="11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9"/>
      <c r="W210" s="109"/>
    </row>
    <row r="211" spans="1:23" s="70" customFormat="1">
      <c r="A211" s="71"/>
      <c r="B211" s="71"/>
      <c r="C211" s="114"/>
      <c r="D211" s="114"/>
      <c r="E211" s="114"/>
      <c r="F211" s="114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</row>
    <row r="212" spans="1:23" s="70" customFormat="1">
      <c r="A212" s="71"/>
      <c r="B212" s="71"/>
      <c r="C212" s="114"/>
      <c r="D212" s="114"/>
      <c r="E212" s="114"/>
      <c r="F212" s="114"/>
      <c r="G212" s="114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</row>
    <row r="213" spans="1:23" s="70" customFormat="1">
      <c r="A213" s="71"/>
      <c r="B213" s="71"/>
      <c r="C213" s="114"/>
      <c r="D213" s="114"/>
      <c r="E213" s="114"/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</row>
    <row r="214" spans="1:23" s="70" customFormat="1">
      <c r="A214" s="113"/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</row>
    <row r="215" spans="1:23" s="70" customFormat="1">
      <c r="A215" s="120"/>
      <c r="B215" s="120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</row>
    <row r="216" spans="1:23" s="70" customFormat="1">
      <c r="A216" s="71"/>
      <c r="B216" s="71"/>
      <c r="C216" s="114"/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</row>
    <row r="217" spans="1:23" s="70" customFormat="1">
      <c r="A217" s="71"/>
      <c r="B217" s="71"/>
      <c r="C217" s="114"/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</row>
    <row r="218" spans="1:23" s="70" customFormat="1">
      <c r="A218" s="71"/>
      <c r="B218" s="71"/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</row>
    <row r="219" spans="1:23" s="70" customFormat="1">
      <c r="A219" s="113"/>
      <c r="B219" s="113"/>
      <c r="C219" s="113"/>
      <c r="D219" s="122"/>
      <c r="E219" s="113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</row>
    <row r="237" spans="1:5" s="70" customFormat="1">
      <c r="A237" s="65"/>
      <c r="B237" s="65"/>
      <c r="D237" s="99"/>
      <c r="E237" s="104"/>
    </row>
    <row r="238" spans="1:5" s="70" customFormat="1">
      <c r="A238" s="65"/>
      <c r="B238" s="65"/>
      <c r="D238" s="99"/>
      <c r="E238" s="104"/>
    </row>
    <row r="239" spans="1:5" s="70" customFormat="1">
      <c r="A239" s="65"/>
      <c r="B239" s="65"/>
      <c r="D239" s="99"/>
      <c r="E239" s="104"/>
    </row>
    <row r="240" spans="1:5" s="70" customFormat="1">
      <c r="A240" s="65"/>
      <c r="B240" s="65"/>
      <c r="D240" s="99"/>
      <c r="E240" s="104"/>
    </row>
    <row r="241" spans="1:23" s="70" customFormat="1">
      <c r="A241" s="65"/>
      <c r="B241" s="65"/>
      <c r="D241" s="99"/>
      <c r="E241" s="104"/>
    </row>
    <row r="242" spans="1:23" s="70" customFormat="1">
      <c r="A242" s="65"/>
      <c r="B242" s="65"/>
      <c r="D242" s="99"/>
      <c r="E242" s="104"/>
    </row>
    <row r="243" spans="1:23" s="70" customFormat="1">
      <c r="A243" s="65"/>
      <c r="B243" s="65"/>
      <c r="D243" s="99"/>
      <c r="E243" s="104"/>
    </row>
    <row r="244" spans="1:23" s="70" customFormat="1">
      <c r="A244" s="65"/>
      <c r="B244" s="65"/>
      <c r="D244" s="99"/>
      <c r="E244" s="104"/>
    </row>
    <row r="245" spans="1:23" s="70" customFormat="1">
      <c r="A245" s="65"/>
      <c r="B245" s="65"/>
      <c r="D245" s="99"/>
      <c r="E245" s="104"/>
    </row>
    <row r="246" spans="1:23" s="70" customFormat="1">
      <c r="A246" s="65"/>
      <c r="B246" s="65"/>
      <c r="D246" s="99"/>
      <c r="E246" s="104"/>
    </row>
    <row r="247" spans="1:23" s="70" customFormat="1">
      <c r="A247" s="65"/>
      <c r="B247" s="65"/>
      <c r="D247" s="99"/>
      <c r="E247" s="104"/>
    </row>
    <row r="248" spans="1:23" s="70" customFormat="1">
      <c r="A248" s="65"/>
      <c r="B248" s="65"/>
      <c r="D248" s="99"/>
      <c r="E248" s="104"/>
    </row>
    <row r="249" spans="1:23" s="70" customFormat="1">
      <c r="A249" s="65"/>
      <c r="B249" s="65"/>
      <c r="D249" s="99"/>
      <c r="E249" s="104"/>
    </row>
    <row r="250" spans="1:23" s="70" customFormat="1">
      <c r="A250" s="65"/>
      <c r="B250" s="65"/>
      <c r="D250" s="99"/>
      <c r="E250" s="104"/>
    </row>
    <row r="251" spans="1:23" s="70" customFormat="1">
      <c r="A251" s="65"/>
      <c r="B251" s="65"/>
      <c r="D251" s="99"/>
      <c r="E251" s="104"/>
    </row>
    <row r="252" spans="1:23" s="70" customFormat="1">
      <c r="A252" s="65"/>
      <c r="B252" s="65"/>
      <c r="D252" s="99"/>
      <c r="E252" s="104"/>
    </row>
    <row r="253" spans="1:23" s="70" customFormat="1">
      <c r="A253" s="65"/>
      <c r="B253" s="65"/>
      <c r="D253" s="99"/>
      <c r="E253" s="104"/>
    </row>
    <row r="254" spans="1:23" s="70" customFormat="1">
      <c r="A254" s="65"/>
      <c r="B254" s="65"/>
      <c r="D254" s="99"/>
      <c r="E254" s="104"/>
    </row>
    <row r="255" spans="1:23" s="70" customFormat="1">
      <c r="A255" s="123"/>
      <c r="B255" s="123"/>
      <c r="C255" s="124"/>
      <c r="D255" s="124"/>
      <c r="E255" s="124"/>
      <c r="F255" s="124"/>
      <c r="G255" s="124"/>
      <c r="H255" s="124"/>
      <c r="I255" s="124"/>
      <c r="J255" s="124"/>
      <c r="K255" s="124"/>
      <c r="L255" s="124"/>
      <c r="M255" s="124"/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</row>
    <row r="256" spans="1:23" s="70" customFormat="1">
      <c r="A256" s="71"/>
      <c r="B256" s="71"/>
      <c r="C256" s="125"/>
      <c r="D256" s="125"/>
      <c r="E256" s="125"/>
      <c r="F256" s="125"/>
      <c r="G256" s="125"/>
      <c r="H256" s="125"/>
      <c r="I256" s="125"/>
      <c r="J256" s="125"/>
      <c r="K256" s="125"/>
      <c r="L256" s="125"/>
      <c r="M256" s="125"/>
      <c r="N256" s="125"/>
      <c r="O256" s="125"/>
      <c r="P256" s="125"/>
      <c r="Q256" s="125"/>
      <c r="R256" s="125"/>
      <c r="S256" s="125"/>
      <c r="T256" s="125"/>
      <c r="U256" s="125"/>
      <c r="V256" s="125"/>
      <c r="W256" s="125"/>
    </row>
    <row r="257" spans="1:23" s="70" customFormat="1">
      <c r="A257" s="65"/>
      <c r="B257" s="65"/>
      <c r="D257" s="66"/>
      <c r="E257" s="66"/>
    </row>
    <row r="258" spans="1:23" s="70" customFormat="1">
      <c r="A258" s="123"/>
      <c r="B258" s="123"/>
      <c r="C258" s="124"/>
      <c r="D258" s="124"/>
      <c r="E258" s="124"/>
      <c r="F258" s="124"/>
      <c r="G258" s="124"/>
      <c r="H258" s="124"/>
      <c r="I258" s="124"/>
      <c r="J258" s="124"/>
      <c r="K258" s="124"/>
      <c r="L258" s="124"/>
      <c r="M258" s="124"/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</row>
    <row r="259" spans="1:23" s="70" customFormat="1">
      <c r="A259" s="71"/>
      <c r="B259" s="71"/>
      <c r="C259" s="125"/>
      <c r="D259" s="125"/>
      <c r="E259" s="125"/>
      <c r="F259" s="125"/>
      <c r="G259" s="125"/>
      <c r="H259" s="125"/>
      <c r="I259" s="125"/>
      <c r="J259" s="125"/>
      <c r="K259" s="125"/>
      <c r="L259" s="125"/>
      <c r="M259" s="125"/>
      <c r="N259" s="125"/>
      <c r="O259" s="125"/>
      <c r="P259" s="125"/>
      <c r="Q259" s="125"/>
      <c r="R259" s="125"/>
      <c r="S259" s="125"/>
      <c r="T259" s="125"/>
      <c r="U259" s="125"/>
      <c r="V259" s="125"/>
      <c r="W259" s="125"/>
    </row>
    <row r="260" spans="1:23" s="70" customFormat="1">
      <c r="A260" s="71"/>
      <c r="B260" s="71"/>
      <c r="C260" s="125"/>
      <c r="D260" s="125"/>
      <c r="E260" s="125"/>
      <c r="F260" s="125"/>
      <c r="G260" s="125"/>
      <c r="H260" s="125"/>
      <c r="I260" s="125"/>
      <c r="J260" s="125"/>
      <c r="K260" s="125"/>
      <c r="L260" s="125"/>
      <c r="M260" s="125"/>
      <c r="N260" s="125"/>
      <c r="O260" s="125"/>
      <c r="P260" s="125"/>
      <c r="Q260" s="125"/>
      <c r="R260" s="125"/>
      <c r="S260" s="125"/>
      <c r="T260" s="125"/>
      <c r="U260" s="125"/>
      <c r="V260" s="125"/>
      <c r="W260" s="125"/>
    </row>
    <row r="261" spans="1:23" s="70" customFormat="1">
      <c r="A261" s="65"/>
      <c r="B261" s="65"/>
      <c r="D261" s="66"/>
      <c r="E261" s="66"/>
    </row>
    <row r="262" spans="1:23" s="70" customFormat="1">
      <c r="A262" s="65"/>
      <c r="B262" s="65"/>
      <c r="D262" s="66"/>
      <c r="E262" s="66"/>
    </row>
    <row r="263" spans="1:23">
      <c r="A263" s="65"/>
      <c r="B263" s="65"/>
      <c r="C263" s="70"/>
      <c r="D263" s="66"/>
      <c r="E263" s="66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</row>
    <row r="264" spans="1:23">
      <c r="A264" s="65"/>
      <c r="B264" s="65"/>
      <c r="C264" s="70"/>
      <c r="D264" s="66"/>
      <c r="E264" s="66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</row>
    <row r="265" spans="1:23">
      <c r="A265" s="65"/>
      <c r="B265" s="65"/>
      <c r="C265" s="70"/>
      <c r="D265" s="66"/>
      <c r="E265" s="69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</row>
    <row r="266" spans="1:23">
      <c r="A266" s="65"/>
      <c r="B266" s="65"/>
      <c r="C266" s="70"/>
      <c r="D266" s="126"/>
      <c r="E266" s="126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</row>
    <row r="267" spans="1:23">
      <c r="A267" s="65"/>
      <c r="B267" s="65"/>
      <c r="C267" s="70"/>
      <c r="D267" s="126"/>
      <c r="E267" s="126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</row>
    <row r="268" spans="1:23">
      <c r="A268" s="65"/>
      <c r="B268" s="65"/>
      <c r="C268" s="70"/>
      <c r="D268" s="126"/>
      <c r="E268" s="126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</row>
    <row r="269" spans="1:23">
      <c r="A269" s="65"/>
      <c r="B269" s="65"/>
      <c r="C269" s="70"/>
      <c r="D269" s="126"/>
      <c r="E269" s="126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</row>
    <row r="270" spans="1:23">
      <c r="A270" s="65"/>
      <c r="B270" s="65"/>
      <c r="C270" s="70"/>
      <c r="D270" s="126"/>
      <c r="E270" s="126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</row>
    <row r="271" spans="1:23">
      <c r="A271" s="65"/>
      <c r="B271" s="65"/>
      <c r="C271" s="70"/>
      <c r="D271" s="66"/>
      <c r="E271" s="69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</row>
    <row r="272" spans="1:23">
      <c r="A272" s="65"/>
      <c r="B272" s="65"/>
      <c r="C272" s="70"/>
      <c r="D272" s="66"/>
      <c r="E272" s="69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</row>
    <row r="273" spans="1:19">
      <c r="A273" s="65"/>
      <c r="B273" s="65"/>
      <c r="C273" s="70"/>
      <c r="D273" s="66"/>
      <c r="E273" s="69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</row>
    <row r="274" spans="1:19">
      <c r="A274" s="65"/>
      <c r="B274" s="65"/>
      <c r="C274" s="70"/>
      <c r="D274" s="66"/>
      <c r="E274" s="69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</row>
    <row r="275" spans="1:19">
      <c r="A275" s="65"/>
      <c r="B275" s="65"/>
      <c r="C275" s="70"/>
      <c r="D275" s="66"/>
      <c r="E275" s="66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</row>
    <row r="276" spans="1:19">
      <c r="A276" s="65"/>
      <c r="B276" s="65"/>
      <c r="C276" s="70"/>
      <c r="D276" s="66"/>
      <c r="E276" s="66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</row>
    <row r="277" spans="1:19">
      <c r="A277" s="65"/>
      <c r="B277" s="65"/>
      <c r="C277" s="70"/>
      <c r="D277" s="66"/>
      <c r="E277" s="66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</row>
    <row r="278" spans="1:19">
      <c r="A278" s="65"/>
      <c r="B278" s="65"/>
      <c r="C278" s="70"/>
      <c r="D278" s="66"/>
      <c r="E278" s="66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</row>
    <row r="279" spans="1:19">
      <c r="A279" s="65"/>
      <c r="B279" s="65"/>
      <c r="C279" s="70"/>
      <c r="D279" s="66"/>
      <c r="E279" s="66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</row>
    <row r="280" spans="1:19">
      <c r="A280" s="65"/>
      <c r="B280" s="65"/>
      <c r="C280" s="70"/>
      <c r="D280" s="66"/>
      <c r="E280" s="66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</row>
    <row r="281" spans="1:19">
      <c r="A281" s="65"/>
      <c r="B281" s="65"/>
      <c r="C281" s="70"/>
      <c r="D281" s="66"/>
      <c r="E281" s="66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</row>
    <row r="282" spans="1:19">
      <c r="A282" s="65"/>
      <c r="B282" s="65"/>
      <c r="C282" s="70"/>
      <c r="D282" s="66"/>
      <c r="E282" s="66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</row>
    <row r="283" spans="1:19">
      <c r="A283" s="65"/>
      <c r="B283" s="65"/>
      <c r="C283" s="70"/>
      <c r="D283" s="66"/>
      <c r="E283" s="66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</row>
    <row r="284" spans="1:19">
      <c r="A284" s="65"/>
      <c r="B284" s="65"/>
      <c r="C284" s="70"/>
      <c r="D284" s="66"/>
      <c r="E284" s="66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</row>
    <row r="285" spans="1:19">
      <c r="A285" s="65"/>
      <c r="B285" s="65"/>
      <c r="C285" s="70"/>
      <c r="D285" s="66"/>
      <c r="E285" s="66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</row>
    <row r="286" spans="1:19">
      <c r="A286" s="65"/>
      <c r="B286" s="65"/>
      <c r="C286" s="70"/>
      <c r="D286" s="66"/>
      <c r="E286" s="66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</row>
    <row r="287" spans="1:19">
      <c r="A287" s="65"/>
      <c r="B287" s="65"/>
      <c r="C287" s="70"/>
      <c r="D287" s="66"/>
      <c r="E287" s="66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</row>
    <row r="288" spans="1:19">
      <c r="A288" s="65"/>
      <c r="B288" s="65"/>
      <c r="C288" s="70"/>
      <c r="D288" s="66"/>
      <c r="E288" s="66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</row>
    <row r="289" spans="1:19">
      <c r="A289" s="65"/>
      <c r="B289" s="65"/>
      <c r="C289" s="70"/>
      <c r="D289" s="66"/>
      <c r="E289" s="66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</row>
    <row r="290" spans="1:19">
      <c r="A290" s="65"/>
      <c r="B290" s="65"/>
      <c r="C290" s="70"/>
      <c r="D290" s="66"/>
      <c r="E290" s="66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</row>
    <row r="291" spans="1:19">
      <c r="A291" s="65"/>
      <c r="B291" s="65"/>
      <c r="C291" s="70"/>
      <c r="D291" s="66"/>
      <c r="E291" s="66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</row>
    <row r="292" spans="1:19">
      <c r="A292" s="65"/>
      <c r="B292" s="65"/>
      <c r="C292" s="70"/>
      <c r="D292" s="66"/>
      <c r="E292" s="66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</row>
    <row r="293" spans="1:19">
      <c r="A293" s="65"/>
      <c r="B293" s="65"/>
      <c r="C293" s="70"/>
      <c r="D293" s="66"/>
      <c r="E293" s="66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</row>
    <row r="294" spans="1:19">
      <c r="A294" s="65"/>
      <c r="B294" s="65"/>
      <c r="C294" s="70"/>
      <c r="D294" s="66"/>
      <c r="E294" s="66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</row>
    <row r="295" spans="1:19">
      <c r="A295" s="65"/>
      <c r="B295" s="65"/>
      <c r="C295" s="70"/>
      <c r="D295" s="66"/>
      <c r="E295" s="66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</row>
    <row r="296" spans="1:19">
      <c r="A296" s="65"/>
      <c r="B296" s="65"/>
      <c r="C296" s="70"/>
      <c r="D296" s="66"/>
      <c r="E296" s="66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</row>
    <row r="297" spans="1:19">
      <c r="A297" s="65"/>
      <c r="B297" s="65"/>
      <c r="C297" s="70"/>
      <c r="D297" s="66"/>
      <c r="E297" s="66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</row>
    <row r="298" spans="1:19">
      <c r="A298" s="65"/>
      <c r="B298" s="65"/>
      <c r="C298" s="70"/>
      <c r="D298" s="66"/>
      <c r="E298" s="66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</row>
    <row r="299" spans="1:19">
      <c r="A299" s="65"/>
      <c r="B299" s="65"/>
      <c r="C299" s="70"/>
      <c r="D299" s="66"/>
      <c r="E299" s="66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</row>
    <row r="300" spans="1:19">
      <c r="A300" s="65"/>
      <c r="B300" s="65"/>
      <c r="C300" s="70"/>
      <c r="D300" s="66"/>
      <c r="E300" s="66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</row>
    <row r="301" spans="1:19">
      <c r="A301" s="65"/>
      <c r="B301" s="65"/>
      <c r="C301" s="70"/>
      <c r="D301" s="66"/>
      <c r="E301" s="66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</row>
    <row r="302" spans="1:19">
      <c r="A302" s="65"/>
      <c r="B302" s="65"/>
      <c r="C302" s="70"/>
      <c r="D302" s="66"/>
      <c r="E302" s="66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</row>
    <row r="303" spans="1:19">
      <c r="A303" s="65"/>
      <c r="B303" s="65"/>
      <c r="C303" s="70"/>
      <c r="D303" s="66"/>
      <c r="E303" s="66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</row>
    <row r="304" spans="1:19">
      <c r="A304" s="65"/>
      <c r="B304" s="65"/>
      <c r="C304" s="70"/>
      <c r="D304" s="66"/>
      <c r="E304" s="66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</row>
    <row r="305" spans="1:19">
      <c r="A305" s="65"/>
      <c r="B305" s="65"/>
      <c r="C305" s="70"/>
      <c r="D305" s="66"/>
      <c r="E305" s="66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</row>
    <row r="306" spans="1:19">
      <c r="A306" s="65"/>
      <c r="B306" s="65"/>
      <c r="C306" s="70"/>
      <c r="D306" s="66"/>
      <c r="E306" s="66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</row>
    <row r="307" spans="1:19">
      <c r="A307" s="65"/>
      <c r="B307" s="65"/>
      <c r="C307" s="70"/>
      <c r="D307" s="66"/>
      <c r="E307" s="66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</row>
    <row r="308" spans="1:19">
      <c r="A308" s="65"/>
      <c r="B308" s="65"/>
      <c r="C308" s="70"/>
      <c r="D308" s="66"/>
      <c r="E308" s="66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</row>
    <row r="309" spans="1:19">
      <c r="A309" s="65"/>
      <c r="B309" s="65"/>
      <c r="C309" s="70"/>
      <c r="D309" s="66"/>
      <c r="E309" s="66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</row>
    <row r="310" spans="1:19">
      <c r="A310" s="65"/>
      <c r="B310" s="65"/>
      <c r="C310" s="70"/>
      <c r="D310" s="66"/>
      <c r="E310" s="66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</row>
    <row r="311" spans="1:19">
      <c r="A311" s="65"/>
      <c r="B311" s="65"/>
      <c r="C311" s="70"/>
      <c r="D311" s="66"/>
      <c r="E311" s="66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</row>
    <row r="312" spans="1:19">
      <c r="A312" s="65"/>
      <c r="B312" s="65"/>
      <c r="C312" s="70"/>
      <c r="D312" s="66"/>
      <c r="E312" s="66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</row>
    <row r="313" spans="1:19">
      <c r="A313" s="65"/>
      <c r="B313" s="65"/>
      <c r="C313" s="70"/>
      <c r="D313" s="66"/>
      <c r="E313" s="66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</row>
    <row r="314" spans="1:19">
      <c r="A314" s="65"/>
      <c r="B314" s="65"/>
      <c r="C314" s="70"/>
      <c r="D314" s="66"/>
      <c r="E314" s="66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</row>
    <row r="315" spans="1:19">
      <c r="A315" s="65"/>
      <c r="B315" s="65"/>
      <c r="C315" s="70"/>
      <c r="D315" s="66"/>
      <c r="E315" s="66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</row>
    <row r="316" spans="1:19">
      <c r="A316" s="65"/>
      <c r="B316" s="65"/>
      <c r="C316" s="70"/>
      <c r="D316" s="66"/>
      <c r="E316" s="66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</row>
    <row r="317" spans="1:19">
      <c r="A317" s="65"/>
      <c r="B317" s="65"/>
      <c r="C317" s="70"/>
      <c r="D317" s="66"/>
      <c r="E317" s="66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</row>
    <row r="318" spans="1:19">
      <c r="A318" s="65"/>
      <c r="B318" s="65"/>
      <c r="C318" s="70"/>
      <c r="D318" s="66"/>
      <c r="E318" s="66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</row>
    <row r="319" spans="1:19">
      <c r="A319" s="65"/>
      <c r="B319" s="65"/>
      <c r="C319" s="70"/>
      <c r="D319" s="66"/>
      <c r="E319" s="66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</row>
    <row r="320" spans="1:19">
      <c r="A320" s="65"/>
      <c r="B320" s="65"/>
      <c r="C320" s="70"/>
      <c r="D320" s="66"/>
      <c r="E320" s="66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</row>
    <row r="321" spans="1:19">
      <c r="A321" s="65"/>
      <c r="B321" s="65"/>
      <c r="C321" s="70"/>
      <c r="D321" s="66"/>
      <c r="E321" s="66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</row>
    <row r="322" spans="1:19">
      <c r="A322" s="65"/>
      <c r="B322" s="65"/>
      <c r="C322" s="70"/>
      <c r="D322" s="66"/>
      <c r="E322" s="66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</row>
    <row r="323" spans="1:19">
      <c r="A323" s="65"/>
      <c r="B323" s="65"/>
      <c r="C323" s="70"/>
      <c r="D323" s="66"/>
      <c r="E323" s="66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</row>
    <row r="324" spans="1:19">
      <c r="A324" s="65"/>
      <c r="B324" s="65"/>
      <c r="C324" s="70"/>
      <c r="D324" s="66"/>
      <c r="E324" s="66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</row>
    <row r="325" spans="1:19">
      <c r="A325" s="65"/>
      <c r="B325" s="65"/>
      <c r="C325" s="70"/>
      <c r="D325" s="66"/>
      <c r="E325" s="66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</row>
    <row r="326" spans="1:19">
      <c r="A326" s="65"/>
      <c r="B326" s="65"/>
      <c r="C326" s="70"/>
      <c r="D326" s="66"/>
      <c r="E326" s="66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</row>
    <row r="327" spans="1:19">
      <c r="A327" s="65"/>
      <c r="B327" s="65"/>
      <c r="C327" s="70"/>
      <c r="D327" s="66"/>
      <c r="E327" s="66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</row>
    <row r="328" spans="1:19">
      <c r="A328" s="65"/>
      <c r="B328" s="65"/>
      <c r="C328" s="70"/>
      <c r="D328" s="66"/>
      <c r="E328" s="66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</row>
    <row r="329" spans="1:19">
      <c r="A329" s="65"/>
      <c r="B329" s="65"/>
      <c r="C329" s="70"/>
      <c r="D329" s="66"/>
      <c r="E329" s="66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</row>
    <row r="330" spans="1:19">
      <c r="A330" s="65"/>
      <c r="B330" s="65"/>
      <c r="C330" s="70"/>
      <c r="D330" s="66"/>
      <c r="E330" s="66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</row>
    <row r="331" spans="1:19">
      <c r="A331" s="65"/>
      <c r="B331" s="65"/>
      <c r="C331" s="70"/>
      <c r="D331" s="66"/>
      <c r="E331" s="66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</row>
    <row r="332" spans="1:19">
      <c r="A332" s="65"/>
      <c r="B332" s="65"/>
      <c r="C332" s="70"/>
      <c r="D332" s="66"/>
      <c r="E332" s="66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</row>
    <row r="333" spans="1:19">
      <c r="A333" s="65"/>
      <c r="B333" s="65"/>
      <c r="C333" s="70"/>
      <c r="D333" s="66"/>
      <c r="E333" s="66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</row>
    <row r="334" spans="1:19">
      <c r="A334" s="65"/>
      <c r="B334" s="65"/>
      <c r="C334" s="70"/>
      <c r="D334" s="66"/>
      <c r="E334" s="66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</row>
    <row r="335" spans="1:19">
      <c r="A335" s="65"/>
      <c r="B335" s="65"/>
      <c r="C335" s="70"/>
      <c r="D335" s="66"/>
      <c r="E335" s="66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</row>
    <row r="336" spans="1:19">
      <c r="A336" s="65"/>
      <c r="B336" s="65"/>
      <c r="C336" s="70"/>
      <c r="D336" s="66"/>
      <c r="E336" s="66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</row>
    <row r="337" spans="1:19">
      <c r="A337" s="65"/>
      <c r="B337" s="65"/>
      <c r="C337" s="70"/>
      <c r="D337" s="66"/>
      <c r="E337" s="66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</row>
    <row r="338" spans="1:19">
      <c r="A338" s="65"/>
      <c r="B338" s="65"/>
      <c r="C338" s="70"/>
      <c r="D338" s="66"/>
      <c r="E338" s="66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</row>
    <row r="339" spans="1:19">
      <c r="A339" s="65"/>
      <c r="B339" s="65"/>
      <c r="C339" s="70"/>
      <c r="D339" s="66"/>
      <c r="E339" s="66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</row>
    <row r="340" spans="1:19">
      <c r="A340" s="65"/>
      <c r="B340" s="65"/>
      <c r="C340" s="70"/>
      <c r="D340" s="66"/>
      <c r="E340" s="66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</row>
    <row r="341" spans="1:19">
      <c r="A341" s="65"/>
      <c r="B341" s="65"/>
      <c r="C341" s="70"/>
      <c r="D341" s="66"/>
      <c r="E341" s="66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</row>
    <row r="342" spans="1:19">
      <c r="A342" s="65"/>
      <c r="B342" s="65"/>
      <c r="C342" s="70"/>
      <c r="D342" s="66"/>
      <c r="E342" s="66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</row>
    <row r="343" spans="1:19">
      <c r="A343" s="65"/>
      <c r="B343" s="65"/>
      <c r="C343" s="70"/>
      <c r="D343" s="66"/>
      <c r="E343" s="66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</row>
    <row r="344" spans="1:19">
      <c r="A344" s="65"/>
      <c r="B344" s="65"/>
      <c r="C344" s="70"/>
      <c r="D344" s="66"/>
      <c r="E344" s="66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</row>
    <row r="345" spans="1:19">
      <c r="A345" s="65"/>
      <c r="B345" s="65"/>
      <c r="C345" s="70"/>
      <c r="D345" s="66"/>
      <c r="E345" s="66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</row>
    <row r="346" spans="1:19">
      <c r="A346" s="65"/>
      <c r="B346" s="65"/>
      <c r="C346" s="70"/>
      <c r="D346" s="66"/>
      <c r="E346" s="66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</row>
    <row r="347" spans="1:19">
      <c r="A347" s="65"/>
      <c r="B347" s="65"/>
      <c r="C347" s="70"/>
      <c r="D347" s="66"/>
      <c r="E347" s="66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</row>
    <row r="348" spans="1:19">
      <c r="A348" s="65"/>
      <c r="B348" s="65"/>
      <c r="C348" s="70"/>
      <c r="D348" s="66"/>
      <c r="E348" s="66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</row>
    <row r="349" spans="1:19">
      <c r="A349" s="65"/>
      <c r="B349" s="65"/>
      <c r="C349" s="70"/>
      <c r="D349" s="66"/>
      <c r="E349" s="66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</row>
    <row r="350" spans="1:19">
      <c r="A350" s="65"/>
      <c r="B350" s="65"/>
      <c r="C350" s="70"/>
      <c r="D350" s="66"/>
      <c r="E350" s="66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</row>
    <row r="351" spans="1:19">
      <c r="A351" s="65"/>
      <c r="B351" s="65"/>
      <c r="C351" s="70"/>
      <c r="D351" s="66"/>
      <c r="E351" s="66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</row>
    <row r="352" spans="1:19">
      <c r="A352" s="65"/>
      <c r="B352" s="65"/>
      <c r="C352" s="70"/>
      <c r="D352" s="66"/>
      <c r="E352" s="66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</row>
  </sheetData>
  <mergeCells count="82">
    <mergeCell ref="S11:W11"/>
    <mergeCell ref="B1:J2"/>
    <mergeCell ref="A5:I5"/>
    <mergeCell ref="A7:I7"/>
    <mergeCell ref="B9:J9"/>
    <mergeCell ref="A11:I11"/>
    <mergeCell ref="A12:I12"/>
    <mergeCell ref="S12:W12"/>
    <mergeCell ref="A13:I13"/>
    <mergeCell ref="S13:W13"/>
    <mergeCell ref="A15:I15"/>
    <mergeCell ref="S15:W15"/>
    <mergeCell ref="A16:I16"/>
    <mergeCell ref="S16:W16"/>
    <mergeCell ref="A17:I17"/>
    <mergeCell ref="S17:W17"/>
    <mergeCell ref="D19:E19"/>
    <mergeCell ref="F19:H19"/>
    <mergeCell ref="A34:B34"/>
    <mergeCell ref="D20:E20"/>
    <mergeCell ref="F20:H20"/>
    <mergeCell ref="A22:C22"/>
    <mergeCell ref="F22:I22"/>
    <mergeCell ref="A23:C23"/>
    <mergeCell ref="F23:I23"/>
    <mergeCell ref="B28:C28"/>
    <mergeCell ref="E28:H28"/>
    <mergeCell ref="B29:C29"/>
    <mergeCell ref="E29:H29"/>
    <mergeCell ref="A33:B33"/>
    <mergeCell ref="A59:H59"/>
    <mergeCell ref="A42:B42"/>
    <mergeCell ref="A43:B43"/>
    <mergeCell ref="A49:B49"/>
    <mergeCell ref="A50:B50"/>
    <mergeCell ref="A52:H52"/>
    <mergeCell ref="A53:H53"/>
    <mergeCell ref="A54:H54"/>
    <mergeCell ref="A55:H55"/>
    <mergeCell ref="A56:H56"/>
    <mergeCell ref="A57:H57"/>
    <mergeCell ref="A58:H58"/>
    <mergeCell ref="AO67:AV67"/>
    <mergeCell ref="A60:H60"/>
    <mergeCell ref="A62:H62"/>
    <mergeCell ref="A63:H63"/>
    <mergeCell ref="A64:H64"/>
    <mergeCell ref="A65:H65"/>
    <mergeCell ref="A66:H66"/>
    <mergeCell ref="A67:H67"/>
    <mergeCell ref="I67:P67"/>
    <mergeCell ref="Q67:X67"/>
    <mergeCell ref="Y67:AF67"/>
    <mergeCell ref="AG67:AN67"/>
    <mergeCell ref="EG67:EN67"/>
    <mergeCell ref="AW67:BD67"/>
    <mergeCell ref="BE67:BL67"/>
    <mergeCell ref="BM67:BT67"/>
    <mergeCell ref="BU67:CB67"/>
    <mergeCell ref="CC67:CJ67"/>
    <mergeCell ref="CK67:CR67"/>
    <mergeCell ref="CS67:CZ67"/>
    <mergeCell ref="DA67:DH67"/>
    <mergeCell ref="DI67:DP67"/>
    <mergeCell ref="DQ67:DX67"/>
    <mergeCell ref="DY67:EF67"/>
    <mergeCell ref="IG67:IN67"/>
    <mergeCell ref="IO67:IV67"/>
    <mergeCell ref="A69:H69"/>
    <mergeCell ref="A71:H71"/>
    <mergeCell ref="GK67:GR67"/>
    <mergeCell ref="GS67:GZ67"/>
    <mergeCell ref="HA67:HH67"/>
    <mergeCell ref="HI67:HP67"/>
    <mergeCell ref="HQ67:HX67"/>
    <mergeCell ref="HY67:IF67"/>
    <mergeCell ref="EO67:EV67"/>
    <mergeCell ref="EW67:FD67"/>
    <mergeCell ref="FE67:FL67"/>
    <mergeCell ref="FM67:FT67"/>
    <mergeCell ref="FU67:GB67"/>
    <mergeCell ref="GC67:GJ67"/>
  </mergeCells>
  <conditionalFormatting sqref="L40:P44 R40:V44">
    <cfRule type="expression" dxfId="116" priority="1" stopIfTrue="1">
      <formula>#REF!&lt;&gt;"SIM"</formula>
    </cfRule>
  </conditionalFormatting>
  <dataValidations count="2">
    <dataValidation type="list" allowBlank="1" showInputMessage="1" showErrorMessage="1" sqref="I20">
      <formula1>"OGU,FGTS"</formula1>
    </dataValidation>
    <dataValidation type="list" allowBlank="1" showInputMessage="1" showErrorMessage="1" sqref="A34:B34">
      <formula1>"Empreitada Preço Global,Empreitada Preço Unitário,Empreitada Integral,Tarefa,Contratação Integrada,Administração Direta,Não se aplica"</formula1>
    </dataValidation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CC98"/>
  <sheetViews>
    <sheetView topLeftCell="K5" workbookViewId="0">
      <selection activeCell="K5" sqref="K5:X89"/>
    </sheetView>
  </sheetViews>
  <sheetFormatPr defaultColWidth="11.6640625" defaultRowHeight="13.2"/>
  <cols>
    <col min="1" max="8" width="6.6640625" style="59" hidden="1" customWidth="1"/>
    <col min="9" max="10" width="6.6640625" style="60" hidden="1" customWidth="1"/>
    <col min="11" max="11" width="7.6640625" style="60" customWidth="1"/>
    <col min="12" max="12" width="10.6640625" style="60" customWidth="1"/>
    <col min="13" max="13" width="60.21875" style="60" customWidth="1"/>
    <col min="14" max="14" width="7.6640625" style="60" customWidth="1"/>
    <col min="15" max="15" width="11.6640625" style="60" customWidth="1"/>
    <col min="16" max="16" width="13.6640625" style="60" customWidth="1"/>
    <col min="17" max="17" width="18.6640625" style="60" hidden="1" customWidth="1"/>
    <col min="18" max="18" width="18.6640625" style="60" customWidth="1"/>
    <col min="19" max="19" width="11.44140625" style="60" customWidth="1"/>
    <col min="20" max="21" width="11.44140625" style="152" customWidth="1"/>
    <col min="22" max="22" width="18.44140625" style="152" customWidth="1"/>
    <col min="23" max="24" width="18.44140625" style="60" customWidth="1"/>
    <col min="25" max="25" width="3.88671875" style="60" customWidth="1"/>
    <col min="26" max="50" width="11.6640625" style="60" customWidth="1"/>
    <col min="51" max="53" width="11.44140625" style="60" hidden="1" customWidth="1"/>
    <col min="54" max="56" width="18.44140625" style="60" hidden="1" customWidth="1"/>
    <col min="57" max="57" width="2.88671875" style="59" hidden="1" customWidth="1"/>
    <col min="58" max="59" width="5.6640625" style="60" hidden="1" customWidth="1"/>
    <col min="60" max="60" width="90.88671875" style="60" hidden="1" customWidth="1"/>
    <col min="61" max="79" width="3.88671875" style="60" hidden="1" customWidth="1"/>
    <col min="80" max="80" width="11.6640625" style="60"/>
    <col min="81" max="81" width="11.6640625" style="60" hidden="1" customWidth="1"/>
    <col min="82" max="82" width="22" style="59" customWidth="1"/>
    <col min="83" max="16384" width="11.6640625" style="59"/>
  </cols>
  <sheetData>
    <row r="1" spans="1:81" hidden="1">
      <c r="A1" s="59" t="str">
        <f>CHOOSE(1+LOG(1+2*(K1="Meta")+4*(K1="Nível 2")+8*(K1="Nível 3")+16*(K1="Nível 4")+32*(K1="Serviço"),2),0,1,2,3,4,"S")</f>
        <v>S</v>
      </c>
      <c r="B1" s="59">
        <f>IF(OR(A1="S",A1=0),0,IF(ISERROR(I1),H1,SMALL(H1:I1,1)))</f>
        <v>0</v>
      </c>
      <c r="C1" s="59" t="e">
        <f ca="1">IF($A1=1,OFFSET(C1,-1,0)+1,OFFSET(C1,-1,0))</f>
        <v>#REF!</v>
      </c>
      <c r="D1" s="59" t="e">
        <f ca="1">IF($A1=1,0,IF($A1=2,OFFSET(D1,-1,0)+1,OFFSET(D1,-1,0)))</f>
        <v>#REF!</v>
      </c>
      <c r="E1" s="59" t="e">
        <f ca="1">IF(AND($A1&lt;=2,$A1&lt;&gt;0),0,IF($A1=3,OFFSET(E1,-1,0)+1,OFFSET(E1,-1,0)))</f>
        <v>#REF!</v>
      </c>
      <c r="F1" s="59" t="e">
        <f ca="1">IF(AND($A1&lt;=3,$A1&lt;&gt;0),0,IF($A1=4,OFFSET(F1,-1,0)+1,OFFSET(F1,-1,0)))</f>
        <v>#REF!</v>
      </c>
      <c r="G1" s="59" t="e">
        <f ca="1">IF(AND($A1&lt;=4,$A1&lt;&gt;0),0,IF($A1="S",OFFSET(G1,-1,0)+1,OFFSET(G1,-1,0)))</f>
        <v>#REF!</v>
      </c>
      <c r="H1" s="59">
        <f ca="1">IF(OR($A1="S",$A1=0),0,MATCH(0,OFFSET($B1,1,$A1,ROW($A$89)-ROW($A1)),0))</f>
        <v>0</v>
      </c>
      <c r="I1" s="59">
        <f ca="1">IF(OR($A1="S",$A1=0),0,MATCH(OFFSET($B1,0,$A1)+1,OFFSET($B1,1,$A1,ROW($A$89)-ROW($A1)),0))</f>
        <v>0</v>
      </c>
      <c r="J1" s="59">
        <f>LEN(LEFT($L1,LEN($L1)-1*(RIGHT($L1,1)=".")))-LEN(SUBSTITUTE(LEFT($L1,LEN($L1)-1*(RIGHT($L1,1)=".")),".",""))</f>
        <v>0</v>
      </c>
      <c r="K1" s="127" t="str">
        <f>CHOOSE(1+LOG(1+2*($J1=3)+4*($J1=2)+8*($J1=1)+16*(AND($L1&lt;&gt;"",$L1&lt;&gt;0,$J1=0))+32*OR($N1&lt;&gt;"",RegimeExecucao="Global",AND($L1="",$M1="",$N1="")),2),"","Nível 4","Nível 3","Nível 2","Meta","Serviço")</f>
        <v>Serviço</v>
      </c>
      <c r="L1" s="128"/>
      <c r="M1" s="129"/>
      <c r="N1" s="130"/>
      <c r="O1" s="131"/>
      <c r="P1" s="132"/>
      <c r="Q1" s="133">
        <f>IF($A1="S",0,$R1)</f>
        <v>0</v>
      </c>
      <c r="R1" s="1" t="e">
        <f>IF($A1="S",IF(RegimeExecucao="Global",ROUND($Q1,arredtot),total),IF($A1=0,0,ROUND(SomaAgrup,arredtot)))</f>
        <v>#REF!</v>
      </c>
      <c r="S1" s="2" t="e">
        <f ca="1">IF(AND($A1="S",COUNTIF($Z$10:$AW$10,mediçao-1)&gt;0),SUM(OFFSET($Z1,0,0,1,MATCH(mediçao-1,$Z$10:$AW$10,0))),IF(AND(RegimeExecucao="Global",$R1&gt;0,COUNTIF($Z$10:$AW$10,mediçao-1)&gt;0),V1/$R1*100,0))</f>
        <v>#REF!</v>
      </c>
      <c r="T1" s="3" t="e">
        <f ca="1">U1-S1</f>
        <v>#REF!</v>
      </c>
      <c r="U1" s="4" t="e">
        <f ca="1">IF(AND($A1="S",COUNTIF($Z$10:$AW$10,mediçao)&gt;0),SUM(OFFSET($Z1,0,0,1,MATCH(mediçao,$Z$10:$AW$10,0))),IF(AND(RegimeExecucao="Global",$R1&gt;0,COUNTIF($Z$10:$AW$10,mediçao)&gt;0),X1/$R1*100,0))</f>
        <v>#REF!</v>
      </c>
      <c r="V1" s="5" t="e">
        <f>IF($A1="S",VTOTAL,IF($A1=0,0,ROUND(SomaAgrup,arredtot)))</f>
        <v>#REF!</v>
      </c>
      <c r="W1" s="6" t="e">
        <f>X1-V1</f>
        <v>#REF!</v>
      </c>
      <c r="X1" s="7" t="e">
        <f>IF($A1="S",VTOTAL,IF($A1=0,0,ROUND(SomaAgrup,arredtot)))</f>
        <v>#REF!</v>
      </c>
      <c r="Y1" s="134"/>
      <c r="Z1" s="135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7"/>
      <c r="AL1" s="135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7"/>
      <c r="AX1" s="16"/>
      <c r="AY1" s="138">
        <v>0</v>
      </c>
      <c r="AZ1" s="8">
        <f>BA1-AY1</f>
        <v>0</v>
      </c>
      <c r="BA1" s="139">
        <v>0</v>
      </c>
      <c r="BB1" s="9" t="e">
        <f>IF($A1="S",VTOTAL,IF($A1=0,0,ROUND(SomaAgrup,arredtot)))</f>
        <v>#REF!</v>
      </c>
      <c r="BC1" s="10" t="e">
        <f>BD1-BB1</f>
        <v>#REF!</v>
      </c>
      <c r="BD1" s="11" t="e">
        <f>IF($A1="S",VTOTAL,IF($A1=0,0,ROUND(SomaAgrup,arredtot)))</f>
        <v>#REF!</v>
      </c>
      <c r="BF1" s="701" t="e">
        <f>IF(BK1&gt;0,L1,"")</f>
        <v>#REF!</v>
      </c>
      <c r="BG1" s="702"/>
      <c r="BH1" s="12" t="e">
        <f>IF(BK1&gt;0,M1,"")</f>
        <v>#REF!</v>
      </c>
      <c r="BI1" s="703" t="e">
        <f>IF(BK1&gt;0,N1,"")</f>
        <v>#REF!</v>
      </c>
      <c r="BJ1" s="704"/>
      <c r="BK1" s="705" t="e">
        <f>IF(BR1&gt;0,CHOOSE(MATCH(RegimeExecucao,{"Unitário","Global"},0),IF($A1="S",BR1/BN1,""),(BR1/BN1)*100),"")</f>
        <v>#REF!</v>
      </c>
      <c r="BL1" s="706"/>
      <c r="BM1" s="707"/>
      <c r="BN1" s="708" t="e">
        <f>IF(BR1&gt;0,CHOOSE(MATCH(RegimeExecucao,{"Unitário","Global"},0),IF($A1="S",ROUND(P1,arredunit),""),ROUND(R1,arredtot)),"")</f>
        <v>#REF!</v>
      </c>
      <c r="BO1" s="709"/>
      <c r="BP1" s="709"/>
      <c r="BQ1" s="710"/>
      <c r="BR1" s="708" t="e">
        <f>$X1-$BD1</f>
        <v>#REF!</v>
      </c>
      <c r="BS1" s="709"/>
      <c r="BT1" s="709"/>
      <c r="BU1" s="710"/>
      <c r="BV1" s="711"/>
      <c r="BW1" s="711"/>
      <c r="BX1" s="711"/>
      <c r="BY1" s="711"/>
      <c r="BZ1" s="711"/>
      <c r="CA1" s="712"/>
      <c r="CB1" s="16"/>
      <c r="CC1" s="16"/>
    </row>
    <row r="2" spans="1:81" hidden="1">
      <c r="I2" s="16"/>
      <c r="J2" s="16"/>
      <c r="K2" s="16"/>
      <c r="L2" s="13"/>
      <c r="M2" s="14"/>
      <c r="N2" s="15"/>
      <c r="O2" s="15"/>
      <c r="P2" s="15"/>
      <c r="Q2" s="15"/>
      <c r="R2" s="15"/>
      <c r="S2" s="15"/>
      <c r="T2" s="13"/>
      <c r="U2" s="13"/>
      <c r="V2" s="13"/>
      <c r="W2" s="15"/>
      <c r="X2" s="16"/>
      <c r="Y2" s="17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</row>
    <row r="3" spans="1:81" ht="12" hidden="1" customHeight="1">
      <c r="C3" s="18" t="s">
        <v>0</v>
      </c>
      <c r="D3" s="18" t="s">
        <v>1</v>
      </c>
      <c r="E3" s="18" t="s">
        <v>2</v>
      </c>
      <c r="F3" s="18" t="s">
        <v>3</v>
      </c>
      <c r="G3" s="18" t="s">
        <v>4</v>
      </c>
      <c r="I3" s="16"/>
      <c r="J3" s="16"/>
      <c r="K3" s="16"/>
      <c r="L3" s="19"/>
      <c r="M3" s="19"/>
      <c r="N3" s="19"/>
      <c r="O3" s="20" t="b">
        <v>1</v>
      </c>
      <c r="P3" s="20" t="b">
        <v>1</v>
      </c>
      <c r="Q3" s="20"/>
      <c r="R3" s="21" t="b">
        <v>1</v>
      </c>
      <c r="S3" s="21" t="b">
        <v>1</v>
      </c>
      <c r="T3" s="22"/>
      <c r="U3" s="22"/>
      <c r="V3" s="22"/>
      <c r="W3" s="140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</row>
    <row r="4" spans="1:81" ht="12" hidden="1" customHeight="1">
      <c r="I4" s="16"/>
      <c r="J4" s="16"/>
      <c r="K4" s="16"/>
      <c r="L4" s="13"/>
      <c r="M4" s="13"/>
      <c r="N4" s="13"/>
      <c r="O4" s="13"/>
      <c r="P4" s="13"/>
      <c r="Q4" s="13"/>
      <c r="R4" s="13"/>
      <c r="S4" s="13"/>
      <c r="T4" s="59"/>
      <c r="U4" s="23"/>
      <c r="V4" s="23"/>
      <c r="W4" s="141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</row>
    <row r="5" spans="1:81" ht="13.8">
      <c r="I5" s="16"/>
      <c r="J5" s="16"/>
      <c r="K5" s="16"/>
      <c r="L5" s="16"/>
      <c r="M5" s="738" t="s">
        <v>269</v>
      </c>
      <c r="N5" s="738"/>
      <c r="O5" s="738"/>
      <c r="P5" s="738"/>
      <c r="Q5" s="24"/>
      <c r="R5" s="24"/>
      <c r="S5" s="24"/>
      <c r="T5" s="24"/>
      <c r="U5" s="24"/>
      <c r="V5" s="24"/>
      <c r="W5" s="24"/>
      <c r="X5" s="739" t="s">
        <v>266</v>
      </c>
      <c r="Y5" s="59"/>
      <c r="Z5" s="59"/>
      <c r="AA5" s="59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 t="s">
        <v>5</v>
      </c>
    </row>
    <row r="6" spans="1:81" ht="13.8">
      <c r="I6" s="16"/>
      <c r="J6" s="16"/>
      <c r="K6" s="16"/>
      <c r="L6" s="16"/>
      <c r="M6" s="193" t="s">
        <v>242</v>
      </c>
      <c r="N6" s="194"/>
      <c r="O6" s="195"/>
      <c r="P6" s="195"/>
      <c r="Q6" s="25"/>
      <c r="R6" s="25"/>
      <c r="S6" s="25"/>
      <c r="T6" s="25"/>
      <c r="U6" s="25"/>
      <c r="V6" s="25"/>
      <c r="W6" s="25"/>
      <c r="X6" s="740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 t="s">
        <v>6</v>
      </c>
    </row>
    <row r="7" spans="1:81" ht="15.75" customHeight="1">
      <c r="I7" s="26"/>
      <c r="J7" s="26"/>
      <c r="K7" s="26"/>
      <c r="L7" s="30" t="s">
        <v>267</v>
      </c>
      <c r="N7" s="31"/>
      <c r="O7" s="27"/>
      <c r="P7" s="27"/>
      <c r="Q7" s="27"/>
      <c r="S7" s="28"/>
      <c r="T7" s="32" t="s">
        <v>7</v>
      </c>
      <c r="U7" s="741" t="s">
        <v>197</v>
      </c>
      <c r="V7" s="742"/>
      <c r="W7" s="33" t="s">
        <v>8</v>
      </c>
      <c r="X7" s="142">
        <v>1</v>
      </c>
      <c r="Y7" s="26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26"/>
      <c r="AZ7" s="26"/>
      <c r="BA7" s="26"/>
      <c r="BC7" s="33" t="s">
        <v>8</v>
      </c>
      <c r="BD7" s="34" t="e">
        <f>mediçao</f>
        <v>#REF!</v>
      </c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 t="s">
        <v>9</v>
      </c>
    </row>
    <row r="8" spans="1:81" ht="21" customHeight="1">
      <c r="I8" s="144" t="str">
        <f>RegimeExecucao</f>
        <v>Unitário</v>
      </c>
      <c r="J8" s="144"/>
      <c r="K8" s="26"/>
      <c r="L8" s="98" t="s">
        <v>268</v>
      </c>
      <c r="M8" s="35"/>
      <c r="N8" s="27"/>
      <c r="O8" s="743"/>
      <c r="P8" s="743"/>
      <c r="Q8" s="743"/>
      <c r="R8" s="743"/>
      <c r="S8" s="28"/>
      <c r="T8" s="29"/>
      <c r="U8" s="28"/>
      <c r="V8" s="36"/>
      <c r="W8" s="145"/>
      <c r="X8" s="33"/>
      <c r="Y8" s="26"/>
      <c r="Z8" s="146"/>
      <c r="AA8" s="147"/>
      <c r="AB8" s="147"/>
      <c r="AC8" s="147"/>
      <c r="AD8" s="147"/>
      <c r="AE8" s="744" t="s">
        <v>10</v>
      </c>
      <c r="AF8" s="744"/>
      <c r="AG8" s="147"/>
      <c r="AH8" s="147"/>
      <c r="AI8" s="147"/>
      <c r="AJ8" s="147"/>
      <c r="AK8" s="148"/>
      <c r="AL8" s="146"/>
      <c r="AM8" s="147"/>
      <c r="AN8" s="147"/>
      <c r="AO8" s="147"/>
      <c r="AP8" s="147"/>
      <c r="AQ8" s="744" t="s">
        <v>10</v>
      </c>
      <c r="AR8" s="744"/>
      <c r="AS8" s="147"/>
      <c r="AT8" s="147"/>
      <c r="AU8" s="147"/>
      <c r="AV8" s="147"/>
      <c r="AW8" s="148"/>
      <c r="AX8" s="26"/>
      <c r="AY8" s="37"/>
      <c r="AZ8" s="37"/>
      <c r="BA8" s="37"/>
      <c r="BB8" s="37"/>
      <c r="BC8" s="37"/>
      <c r="BD8" s="37"/>
      <c r="BF8" s="731" t="s">
        <v>11</v>
      </c>
      <c r="BG8" s="732"/>
      <c r="BH8" s="732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38"/>
      <c r="CB8" s="26"/>
      <c r="CC8" s="26" t="s">
        <v>12</v>
      </c>
    </row>
    <row r="9" spans="1:81" ht="15" customHeight="1">
      <c r="I9" s="149"/>
      <c r="J9" s="149"/>
      <c r="K9" s="149"/>
      <c r="L9" s="733" t="s">
        <v>13</v>
      </c>
      <c r="M9" s="734"/>
      <c r="N9" s="39"/>
      <c r="O9" s="39"/>
      <c r="P9" s="39"/>
      <c r="Q9" s="39"/>
      <c r="R9" s="40"/>
      <c r="S9" s="733" t="str">
        <f>"Evolução Física "&amp;CHOOSE(MATCH(RegimeExecucao,{"Unitário","Global"},0),"(Qtde.)","(%)")</f>
        <v>Evolução Física (Qtde.)</v>
      </c>
      <c r="T9" s="734"/>
      <c r="U9" s="735"/>
      <c r="V9" s="733" t="s">
        <v>14</v>
      </c>
      <c r="W9" s="734"/>
      <c r="X9" s="735"/>
      <c r="Y9" s="150"/>
      <c r="Z9" s="151">
        <v>44077</v>
      </c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49"/>
      <c r="AY9" s="733" t="str">
        <f>"Aferição Física "&amp;CHOOSE(MATCH(RegimeExecucao,{"Unitário","Global"},0),"(Qtde.)","(%)")</f>
        <v>Aferição Física (Qtde.)</v>
      </c>
      <c r="AZ9" s="734"/>
      <c r="BA9" s="735"/>
      <c r="BB9" s="733" t="s">
        <v>15</v>
      </c>
      <c r="BC9" s="734"/>
      <c r="BD9" s="735"/>
      <c r="BF9" s="736" t="s">
        <v>16</v>
      </c>
      <c r="BG9" s="737"/>
      <c r="BH9" s="737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40"/>
      <c r="CB9" s="149"/>
      <c r="CC9" s="149" t="s">
        <v>17</v>
      </c>
    </row>
    <row r="10" spans="1:81" ht="39.9" customHeight="1">
      <c r="A10" s="41" t="s">
        <v>18</v>
      </c>
      <c r="B10" s="41" t="s">
        <v>19</v>
      </c>
      <c r="C10" s="41" t="s">
        <v>20</v>
      </c>
      <c r="D10" s="41" t="s">
        <v>21</v>
      </c>
      <c r="E10" s="41" t="s">
        <v>22</v>
      </c>
      <c r="F10" s="41" t="s">
        <v>23</v>
      </c>
      <c r="G10" s="41" t="s">
        <v>24</v>
      </c>
      <c r="H10" s="41" t="s">
        <v>25</v>
      </c>
      <c r="I10" s="41" t="s">
        <v>26</v>
      </c>
      <c r="J10" s="41"/>
      <c r="K10" s="41" t="s">
        <v>18</v>
      </c>
      <c r="L10" s="41" t="s">
        <v>27</v>
      </c>
      <c r="M10" s="41" t="s">
        <v>28</v>
      </c>
      <c r="N10" s="41" t="s">
        <v>29</v>
      </c>
      <c r="O10" s="41" t="s">
        <v>30</v>
      </c>
      <c r="P10" s="41" t="s">
        <v>31</v>
      </c>
      <c r="Q10" s="41" t="s">
        <v>32</v>
      </c>
      <c r="R10" s="41" t="s">
        <v>32</v>
      </c>
      <c r="S10" s="41" t="s">
        <v>33</v>
      </c>
      <c r="T10" s="41" t="s">
        <v>34</v>
      </c>
      <c r="U10" s="41" t="s">
        <v>35</v>
      </c>
      <c r="V10" s="42" t="s">
        <v>33</v>
      </c>
      <c r="W10" s="41" t="s">
        <v>34</v>
      </c>
      <c r="X10" s="41" t="s">
        <v>35</v>
      </c>
      <c r="Y10" s="152"/>
      <c r="Z10" s="153">
        <v>1</v>
      </c>
      <c r="AA10" s="43">
        <f ca="1">OFFSET(AA10,0,-1)+1</f>
        <v>2</v>
      </c>
      <c r="AB10" s="43">
        <f t="shared" ref="AB10:AW10" ca="1" si="0">OFFSET(AB10,0,-1)+1</f>
        <v>3</v>
      </c>
      <c r="AC10" s="43">
        <f t="shared" ca="1" si="0"/>
        <v>4</v>
      </c>
      <c r="AD10" s="43">
        <f t="shared" ca="1" si="0"/>
        <v>5</v>
      </c>
      <c r="AE10" s="43">
        <f t="shared" ca="1" si="0"/>
        <v>6</v>
      </c>
      <c r="AF10" s="43">
        <f t="shared" ca="1" si="0"/>
        <v>7</v>
      </c>
      <c r="AG10" s="43">
        <f t="shared" ca="1" si="0"/>
        <v>8</v>
      </c>
      <c r="AH10" s="43">
        <f t="shared" ca="1" si="0"/>
        <v>9</v>
      </c>
      <c r="AI10" s="43">
        <f t="shared" ca="1" si="0"/>
        <v>10</v>
      </c>
      <c r="AJ10" s="43">
        <f t="shared" ca="1" si="0"/>
        <v>11</v>
      </c>
      <c r="AK10" s="43">
        <f t="shared" ca="1" si="0"/>
        <v>12</v>
      </c>
      <c r="AL10" s="43">
        <f t="shared" ca="1" si="0"/>
        <v>13</v>
      </c>
      <c r="AM10" s="43">
        <f t="shared" ca="1" si="0"/>
        <v>14</v>
      </c>
      <c r="AN10" s="43">
        <f t="shared" ca="1" si="0"/>
        <v>15</v>
      </c>
      <c r="AO10" s="43">
        <f t="shared" ca="1" si="0"/>
        <v>16</v>
      </c>
      <c r="AP10" s="43">
        <f t="shared" ca="1" si="0"/>
        <v>17</v>
      </c>
      <c r="AQ10" s="43">
        <f t="shared" ca="1" si="0"/>
        <v>18</v>
      </c>
      <c r="AR10" s="43">
        <f t="shared" ca="1" si="0"/>
        <v>19</v>
      </c>
      <c r="AS10" s="43">
        <f t="shared" ca="1" si="0"/>
        <v>20</v>
      </c>
      <c r="AT10" s="43">
        <f t="shared" ca="1" si="0"/>
        <v>21</v>
      </c>
      <c r="AU10" s="43">
        <f t="shared" ca="1" si="0"/>
        <v>22</v>
      </c>
      <c r="AV10" s="43">
        <f t="shared" ca="1" si="0"/>
        <v>23</v>
      </c>
      <c r="AW10" s="43">
        <f t="shared" ca="1" si="0"/>
        <v>24</v>
      </c>
      <c r="AX10" s="84"/>
      <c r="AY10" s="41" t="s">
        <v>33</v>
      </c>
      <c r="AZ10" s="41" t="s">
        <v>34</v>
      </c>
      <c r="BA10" s="41" t="s">
        <v>35</v>
      </c>
      <c r="BB10" s="42" t="s">
        <v>33</v>
      </c>
      <c r="BC10" s="41" t="s">
        <v>34</v>
      </c>
      <c r="BD10" s="41" t="s">
        <v>35</v>
      </c>
      <c r="BF10" s="722" t="s">
        <v>36</v>
      </c>
      <c r="BG10" s="723"/>
      <c r="BH10" s="154" t="str">
        <f>M10</f>
        <v>Discriminação</v>
      </c>
      <c r="BI10" s="722" t="s">
        <v>29</v>
      </c>
      <c r="BJ10" s="723"/>
      <c r="BK10" s="722" t="str">
        <f>CHOOSE(MATCH(RegimeExecucao,{"Unitário","Global"},0),"Quant. Glosada (unid)","Percentual Glosado (%)")</f>
        <v>Quant. Glosada (unid)</v>
      </c>
      <c r="BL10" s="724"/>
      <c r="BM10" s="723"/>
      <c r="BN10" s="722" t="str">
        <f>CHOOSE(MATCH(RegimeExecucao,{"Unitário","Global"},0),"Preço Unitário (R$)","Valor Total do Item (R$)")</f>
        <v>Preço Unitário (R$)</v>
      </c>
      <c r="BO10" s="724"/>
      <c r="BP10" s="724"/>
      <c r="BQ10" s="723"/>
      <c r="BR10" s="725" t="s">
        <v>37</v>
      </c>
      <c r="BS10" s="726"/>
      <c r="BT10" s="726"/>
      <c r="BU10" s="727"/>
      <c r="BV10" s="728" t="s">
        <v>38</v>
      </c>
      <c r="BW10" s="729"/>
      <c r="BX10" s="729"/>
      <c r="BY10" s="729"/>
      <c r="BZ10" s="729"/>
      <c r="CA10" s="730"/>
      <c r="CB10" s="84"/>
      <c r="CC10" s="84"/>
    </row>
    <row r="11" spans="1:81" ht="15" customHeight="1">
      <c r="B11" s="59">
        <f ca="1">COUNTA(OFFSET(B11,1,0):B$102)</f>
        <v>78</v>
      </c>
      <c r="I11" s="152"/>
      <c r="J11" s="152"/>
      <c r="K11" s="155"/>
      <c r="L11" s="716"/>
      <c r="M11" s="717"/>
      <c r="N11" s="718"/>
      <c r="O11" s="716" t="s">
        <v>39</v>
      </c>
      <c r="P11" s="718"/>
      <c r="Q11" s="156">
        <f>$R11</f>
        <v>185801.47100000002</v>
      </c>
      <c r="R11" s="156">
        <f>SUM(R12+R15+R18+R31+R33+R39+R43+R51+R62+R67+R73+R83+R85)</f>
        <v>185801.47100000002</v>
      </c>
      <c r="S11" s="156">
        <f ca="1">SUM(S12+S15+S18+S31+S33+S39+S43+S51+S62+S67+S73+S83+S85)</f>
        <v>0</v>
      </c>
      <c r="T11" s="157">
        <f ca="1">U11-S11</f>
        <v>0</v>
      </c>
      <c r="U11" s="158">
        <f>IF($X$11=0,0,IF(RegimeExecucao="Global",X11/$R11*100,0))</f>
        <v>0</v>
      </c>
      <c r="V11" s="156">
        <f>SUM(V12+V15+V18+V31+V33+V39+V43+V51+V62+V67+V73+V83+V85)</f>
        <v>0</v>
      </c>
      <c r="W11" s="156">
        <f>SUM(W12+W15+W18+W31+W33+W39+W43+W51+W62+W67+W73+W83+W85)</f>
        <v>23197.060909090906</v>
      </c>
      <c r="X11" s="158">
        <f>V11+W11</f>
        <v>23197.060909090906</v>
      </c>
      <c r="Y11" s="160"/>
      <c r="Z11" s="161"/>
      <c r="AA11" s="162"/>
      <c r="AB11" s="162"/>
      <c r="AC11" s="719" t="str">
        <f>"Preencher abaixo com a "&amp;CHOOSE(MATCH(RegimeExecucao,{"Unitário","Global"},0),"QUANTIDADE","PERCENTAGEM")&amp;" executada no PERÍODO"</f>
        <v>Preencher abaixo com a QUANTIDADE executada no PERÍODO</v>
      </c>
      <c r="AD11" s="719"/>
      <c r="AE11" s="719"/>
      <c r="AF11" s="719"/>
      <c r="AG11" s="719"/>
      <c r="AH11" s="719"/>
      <c r="AI11" s="162"/>
      <c r="AJ11" s="162"/>
      <c r="AK11" s="163"/>
      <c r="AL11" s="161"/>
      <c r="AM11" s="162"/>
      <c r="AN11" s="162"/>
      <c r="AO11" s="719" t="str">
        <f>"Preencher abaixo com a "&amp;CHOOSE(MATCH(RegimeExecucao,{"Unitário","Global"},0),"QUANTIDADE","PERCENTAGEM")&amp;" executada no PERÍODO"</f>
        <v>Preencher abaixo com a QUANTIDADE executada no PERÍODO</v>
      </c>
      <c r="AP11" s="719"/>
      <c r="AQ11" s="719"/>
      <c r="AR11" s="719"/>
      <c r="AS11" s="719"/>
      <c r="AT11" s="719"/>
      <c r="AU11" s="162"/>
      <c r="AV11" s="162"/>
      <c r="AW11" s="163"/>
      <c r="AX11" s="152"/>
      <c r="AY11" s="156" t="e">
        <f ca="1">IF(BB11=0,0,IF(RegimeExecucao="Global",BB11/$R11*100,0))</f>
        <v>#REF!</v>
      </c>
      <c r="AZ11" s="157" t="e">
        <f ca="1">BA11-AY11</f>
        <v>#REF!</v>
      </c>
      <c r="BA11" s="158" t="e">
        <f ca="1">IF(BD11=0,0,IF(RegimeExecucao="Global",BD11/$R11*100,0))</f>
        <v>#REF!</v>
      </c>
      <c r="BB11" s="159" t="e">
        <f ca="1">SUMIF(OFFSET(K11,1,0):K89,"serviço",OFFSET(BB11,1,0):BB$89)</f>
        <v>#REF!</v>
      </c>
      <c r="BC11" s="158" t="e">
        <f ca="1">BD11-BB11</f>
        <v>#REF!</v>
      </c>
      <c r="BD11" s="158" t="e">
        <f ca="1">SUMIF(OFFSET($K11,1,0):K89,"serviço",OFFSET(BD11,1,0):BD$89)</f>
        <v>#REF!</v>
      </c>
      <c r="BF11" s="720"/>
      <c r="BG11" s="720"/>
      <c r="BH11" s="164" t="s">
        <v>39</v>
      </c>
      <c r="BI11" s="721"/>
      <c r="BJ11" s="721"/>
      <c r="BK11" s="713" t="e">
        <f ca="1">IF(BR11=0,0,IF(RegimeExecucao="Global",BR11/$R11*100,0))</f>
        <v>#REF!</v>
      </c>
      <c r="BL11" s="713">
        <f>IF(BO11=0,0,IF(RegimeExecucao="Global",BO11/$R11*100,0))</f>
        <v>0</v>
      </c>
      <c r="BM11" s="713">
        <f>IF(BP11=0,0,IF(RegimeExecucao="Global",BP11/$R11*100,0))</f>
        <v>0</v>
      </c>
      <c r="BN11" s="714" t="e">
        <f ca="1">IF(AND($A11="S",BR11&gt;0),CHOOSE(MATCH(RegimeExecucao,{"Unitário","Global"},0),ROUND(P11,arredunit),ROUND(R11,arredtot)),"")</f>
        <v>#REF!</v>
      </c>
      <c r="BO11" s="714"/>
      <c r="BP11" s="714"/>
      <c r="BQ11" s="714"/>
      <c r="BR11" s="714" t="e">
        <f t="shared" ref="BR11:BR74" ca="1" si="1">$X11-$BD11</f>
        <v>#REF!</v>
      </c>
      <c r="BS11" s="714"/>
      <c r="BT11" s="714"/>
      <c r="BU11" s="714"/>
      <c r="BV11" s="715"/>
      <c r="BW11" s="715"/>
      <c r="BX11" s="715"/>
      <c r="BY11" s="715"/>
      <c r="BZ11" s="715"/>
      <c r="CA11" s="715"/>
      <c r="CB11" s="152"/>
      <c r="CC11" s="152"/>
    </row>
    <row r="12" spans="1:81" ht="13.8">
      <c r="A12" s="59">
        <f>CHOOSE(1+LOG(1+2*(K12="Meta")+4*(K12="Nível 2")+8*(K12="Nível 3")+16*(K12="Nível 4")+32*(K12="Serviço"),2),0,1,2,3,4,"S")</f>
        <v>1</v>
      </c>
      <c r="B12" s="59">
        <f ca="1">IF(OR(A12="S",A12=0),0,IF(ISERROR(I12),H12,SMALL(H12:I12,1)))</f>
        <v>3</v>
      </c>
      <c r="C12" s="59">
        <f t="shared" ref="C12:C75" ca="1" si="2">IF($A12=1,OFFSET(C12,-1,0)+1,OFFSET(C12,-1,0))</f>
        <v>1</v>
      </c>
      <c r="D12" s="59">
        <f t="shared" ref="D12:D75" ca="1" si="3">IF($A12=1,0,IF($A12=2,OFFSET(D12,-1,0)+1,OFFSET(D12,-1,0)))</f>
        <v>0</v>
      </c>
      <c r="E12" s="59">
        <f t="shared" ref="E12:E75" ca="1" si="4">IF(AND($A12&lt;=2,$A12&lt;&gt;0),0,IF($A12=3,OFFSET(E12,-1,0)+1,OFFSET(E12,-1,0)))</f>
        <v>0</v>
      </c>
      <c r="F12" s="59">
        <f t="shared" ref="F12:F75" ca="1" si="5">IF(AND($A12&lt;=3,$A12&lt;&gt;0),0,IF($A12=4,OFFSET(F12,-1,0)+1,OFFSET(F12,-1,0)))</f>
        <v>0</v>
      </c>
      <c r="G12" s="59">
        <f t="shared" ref="G12:G75" ca="1" si="6">IF(AND($A12&lt;=4,$A12&lt;&gt;0),0,IF($A12="S",OFFSET(G12,-1,0)+1,OFFSET(G12,-1,0)))</f>
        <v>0</v>
      </c>
      <c r="H12" s="59">
        <f t="shared" ref="H12:H75" ca="1" si="7">IF(OR($A12="S",$A12=0),0,MATCH(0,OFFSET($B12,1,$A12,ROW($A$89)-ROW($A12)),0))</f>
        <v>77</v>
      </c>
      <c r="I12" s="59">
        <f t="shared" ref="I12:I75" ca="1" si="8">IF(OR($A12="S",$A12=0),0,MATCH(OFFSET($B12,0,$A12)+1,OFFSET($B12,1,$A12,ROW($A$89)-ROW($A12)),0))</f>
        <v>3</v>
      </c>
      <c r="J12" s="59">
        <f t="shared" ref="J12:J75" si="9">LEN(LEFT($L12,LEN($L12)-1*(RIGHT($L12,1)=".")))-LEN(SUBSTITUTE(LEFT($L12,LEN($L12)-1*(RIGHT($L12,1)=".")),".",""))</f>
        <v>0</v>
      </c>
      <c r="K12" s="127" t="s">
        <v>0</v>
      </c>
      <c r="L12" s="128">
        <v>1</v>
      </c>
      <c r="M12" s="129" t="s">
        <v>40</v>
      </c>
      <c r="N12" s="130"/>
      <c r="O12" s="131"/>
      <c r="P12" s="132"/>
      <c r="Q12" s="133">
        <f>IF($A12="S",0,$R12)</f>
        <v>8356.7099999999991</v>
      </c>
      <c r="R12" s="1">
        <f>SUM(R13:R14)</f>
        <v>8356.7099999999991</v>
      </c>
      <c r="S12" s="2">
        <f t="shared" ref="S12:S75" ca="1" si="10">IF(AND($A12="S",COUNTIF($Z$10:$AW$10,mediçao-1)&gt;0),SUM(OFFSET($Z12,0,0,1,MATCH(mediçao-1,$Z$10:$AW$10,0))),IF(AND(RegimeExecucao="Global",$R12&gt;0,COUNTIF($Z$10:$AW$10,mediçao-1)&gt;0),V12/$R12*100,0))</f>
        <v>0</v>
      </c>
      <c r="T12" s="3">
        <f ca="1">U12-S12</f>
        <v>0</v>
      </c>
      <c r="U12" s="4">
        <f ca="1">IF(AND($A12="S",COUNTIF($Z$10:$AW$10,mediçao)&gt;0),SUM(OFFSET($Z12,0,0,1,MATCH(mediçao,$Z$10:$AW$10,0))),IF(AND(RegimeExecucao="Global",$R12&gt;0,COUNTIF($Z$10:$AW$10,mediçao)&gt;0),X12/$R12*100,0))</f>
        <v>0</v>
      </c>
      <c r="V12" s="1">
        <f>SUM(V13:V14)</f>
        <v>0</v>
      </c>
      <c r="W12" s="1">
        <f>SUM(W13:W14)</f>
        <v>8356.7099999999991</v>
      </c>
      <c r="X12" s="158">
        <f>V12+W12</f>
        <v>8356.7099999999991</v>
      </c>
      <c r="Y12" s="134"/>
      <c r="Z12" s="135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7"/>
      <c r="AL12" s="135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7"/>
      <c r="AX12" s="16"/>
      <c r="AY12" s="138">
        <v>0</v>
      </c>
      <c r="AZ12" s="8">
        <f>BA12-AY12</f>
        <v>0</v>
      </c>
      <c r="BA12" s="139">
        <v>0</v>
      </c>
      <c r="BB12" s="9" t="e">
        <f t="shared" ref="BB12:BB75" ca="1" si="11">IF($A12="S",VTOTAL,IF($A12=0,0,ROUND(SomaAgrup,arredtot)))</f>
        <v>#REF!</v>
      </c>
      <c r="BC12" s="10" t="e">
        <f ca="1">BD12-BB12</f>
        <v>#REF!</v>
      </c>
      <c r="BD12" s="11" t="e">
        <f t="shared" ref="BD12:BD75" ca="1" si="12">IF($A12="S",VTOTAL,IF($A12=0,0,ROUND(SomaAgrup,arredtot)))</f>
        <v>#REF!</v>
      </c>
      <c r="BF12" s="701" t="e">
        <f ca="1">IF(BK12&gt;0,L12,"")</f>
        <v>#REF!</v>
      </c>
      <c r="BG12" s="702"/>
      <c r="BH12" s="12" t="e">
        <f ca="1">IF(BK12&gt;0,M12,"")</f>
        <v>#REF!</v>
      </c>
      <c r="BI12" s="703" t="e">
        <f ca="1">IF(BK12&gt;0,N12,"")</f>
        <v>#REF!</v>
      </c>
      <c r="BJ12" s="704"/>
      <c r="BK12" s="705" t="e">
        <f ca="1">IF(BR12&gt;0,CHOOSE(MATCH(RegimeExecucao,{"Unitário","Global"},0),IF($A12="S",BR12/BN12,""),(BR12/BN12)*100),"")</f>
        <v>#REF!</v>
      </c>
      <c r="BL12" s="706"/>
      <c r="BM12" s="707"/>
      <c r="BN12" s="708" t="e">
        <f ca="1">IF(BR12&gt;0,CHOOSE(MATCH(RegimeExecucao,{"Unitário","Global"},0),IF($A12="S",ROUND(P12,arredunit),""),ROUND(R12,arredtot)),"")</f>
        <v>#REF!</v>
      </c>
      <c r="BO12" s="709"/>
      <c r="BP12" s="709"/>
      <c r="BQ12" s="710"/>
      <c r="BR12" s="708" t="e">
        <f t="shared" ca="1" si="1"/>
        <v>#REF!</v>
      </c>
      <c r="BS12" s="709"/>
      <c r="BT12" s="709"/>
      <c r="BU12" s="710"/>
      <c r="BV12" s="711"/>
      <c r="BW12" s="711"/>
      <c r="BX12" s="711"/>
      <c r="BY12" s="711"/>
      <c r="BZ12" s="711"/>
      <c r="CA12" s="712"/>
      <c r="CB12" s="16"/>
      <c r="CC12" s="16"/>
    </row>
    <row r="13" spans="1:81" ht="39.6">
      <c r="A13" s="59" t="str">
        <f t="shared" ref="A13:A76" si="13">CHOOSE(1+LOG(1+2*(K13="Meta")+4*(K13="Nível 2")+8*(K13="Nível 3")+16*(K13="Nível 4")+32*(K13="Serviço"),2),0,1,2,3,4,"S")</f>
        <v>S</v>
      </c>
      <c r="B13" s="59">
        <f t="shared" ref="B13:B76" si="14">IF(OR(A13="S",A13=0),0,IF(ISERROR(I13),H13,SMALL(H13:I13,1)))</f>
        <v>0</v>
      </c>
      <c r="C13" s="59">
        <f t="shared" ca="1" si="2"/>
        <v>1</v>
      </c>
      <c r="D13" s="59">
        <f t="shared" ca="1" si="3"/>
        <v>0</v>
      </c>
      <c r="E13" s="59">
        <f t="shared" ca="1" si="4"/>
        <v>0</v>
      </c>
      <c r="F13" s="59">
        <f t="shared" ca="1" si="5"/>
        <v>0</v>
      </c>
      <c r="G13" s="59">
        <f t="shared" ca="1" si="6"/>
        <v>1</v>
      </c>
      <c r="H13" s="59">
        <f t="shared" ca="1" si="7"/>
        <v>0</v>
      </c>
      <c r="I13" s="59">
        <f t="shared" ca="1" si="8"/>
        <v>0</v>
      </c>
      <c r="J13" s="59">
        <f t="shared" si="9"/>
        <v>1</v>
      </c>
      <c r="K13" s="127" t="s">
        <v>4</v>
      </c>
      <c r="L13" s="165" t="s">
        <v>41</v>
      </c>
      <c r="M13" s="129" t="s">
        <v>42</v>
      </c>
      <c r="N13" s="130" t="s">
        <v>43</v>
      </c>
      <c r="O13" s="131">
        <v>9.9999329915904429</v>
      </c>
      <c r="P13" s="132">
        <v>596.94000000000005</v>
      </c>
      <c r="Q13" s="133">
        <f t="shared" ref="Q13:Q76" si="15">IF($A13="S",0,$R13)</f>
        <v>0</v>
      </c>
      <c r="R13" s="1">
        <f>P13*O13</f>
        <v>5969.36</v>
      </c>
      <c r="S13" s="2">
        <f t="shared" ca="1" si="10"/>
        <v>0</v>
      </c>
      <c r="T13" s="3">
        <f>Z13</f>
        <v>10</v>
      </c>
      <c r="U13" s="4">
        <f ca="1">S13+T13</f>
        <v>10</v>
      </c>
      <c r="V13" s="5"/>
      <c r="W13" s="6">
        <f>IF(O13-Z13&gt;0.01,Z13*P13,R13)</f>
        <v>5969.36</v>
      </c>
      <c r="X13" s="7">
        <f>V13+W13</f>
        <v>5969.36</v>
      </c>
      <c r="Y13" s="134"/>
      <c r="Z13" s="135">
        <v>10</v>
      </c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7"/>
      <c r="AL13" s="135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7"/>
      <c r="AX13" s="16"/>
      <c r="AY13" s="138">
        <v>0</v>
      </c>
      <c r="AZ13" s="8">
        <f t="shared" ref="AZ13:AZ76" si="16">BA13-AY13</f>
        <v>0</v>
      </c>
      <c r="BA13" s="139">
        <v>0</v>
      </c>
      <c r="BB13" s="9" t="e">
        <f t="shared" si="11"/>
        <v>#REF!</v>
      </c>
      <c r="BC13" s="10" t="e">
        <f t="shared" ref="BC13:BC76" si="17">BD13-BB13</f>
        <v>#REF!</v>
      </c>
      <c r="BD13" s="11" t="e">
        <f t="shared" si="12"/>
        <v>#REF!</v>
      </c>
      <c r="BF13" s="701" t="e">
        <f t="shared" ref="BF13:BF76" si="18">IF(BK13&gt;0,L13,"")</f>
        <v>#REF!</v>
      </c>
      <c r="BG13" s="702"/>
      <c r="BH13" s="12" t="e">
        <f t="shared" ref="BH13:BH76" si="19">IF(BK13&gt;0,M13,"")</f>
        <v>#REF!</v>
      </c>
      <c r="BI13" s="703" t="e">
        <f t="shared" ref="BI13:BI76" si="20">IF(BK13&gt;0,N13,"")</f>
        <v>#REF!</v>
      </c>
      <c r="BJ13" s="704"/>
      <c r="BK13" s="705" t="e">
        <f>IF(BR13&gt;0,CHOOSE(MATCH(RegimeExecucao,{"Unitário","Global"},0),IF($A13="S",BR13/BN13,""),(BR13/BN13)*100),"")</f>
        <v>#REF!</v>
      </c>
      <c r="BL13" s="706"/>
      <c r="BM13" s="707"/>
      <c r="BN13" s="708" t="e">
        <f>IF(BR13&gt;0,CHOOSE(MATCH(RegimeExecucao,{"Unitário","Global"},0),IF($A13="S",ROUND(P13,arredunit),""),ROUND(R13,arredtot)),"")</f>
        <v>#REF!</v>
      </c>
      <c r="BO13" s="709"/>
      <c r="BP13" s="709"/>
      <c r="BQ13" s="710"/>
      <c r="BR13" s="708" t="e">
        <f t="shared" si="1"/>
        <v>#REF!</v>
      </c>
      <c r="BS13" s="709"/>
      <c r="BT13" s="709"/>
      <c r="BU13" s="710"/>
      <c r="BV13" s="711"/>
      <c r="BW13" s="711"/>
      <c r="BX13" s="711"/>
      <c r="BY13" s="711"/>
      <c r="BZ13" s="711"/>
      <c r="CA13" s="712"/>
      <c r="CB13" s="16"/>
      <c r="CC13" s="16"/>
    </row>
    <row r="14" spans="1:81">
      <c r="A14" s="59" t="str">
        <f t="shared" si="13"/>
        <v>S</v>
      </c>
      <c r="B14" s="59">
        <f t="shared" si="14"/>
        <v>0</v>
      </c>
      <c r="C14" s="59">
        <f t="shared" ca="1" si="2"/>
        <v>1</v>
      </c>
      <c r="D14" s="59">
        <f t="shared" ca="1" si="3"/>
        <v>0</v>
      </c>
      <c r="E14" s="59">
        <f t="shared" ca="1" si="4"/>
        <v>0</v>
      </c>
      <c r="F14" s="59">
        <f t="shared" ca="1" si="5"/>
        <v>0</v>
      </c>
      <c r="G14" s="59">
        <f t="shared" ca="1" si="6"/>
        <v>2</v>
      </c>
      <c r="H14" s="59">
        <f t="shared" ca="1" si="7"/>
        <v>0</v>
      </c>
      <c r="I14" s="59">
        <f t="shared" ca="1" si="8"/>
        <v>0</v>
      </c>
      <c r="J14" s="59">
        <f t="shared" si="9"/>
        <v>1</v>
      </c>
      <c r="K14" s="127" t="s">
        <v>4</v>
      </c>
      <c r="L14" s="165" t="s">
        <v>44</v>
      </c>
      <c r="M14" s="129" t="s">
        <v>45</v>
      </c>
      <c r="N14" s="130" t="s">
        <v>43</v>
      </c>
      <c r="O14" s="131">
        <v>6.0000251325743292</v>
      </c>
      <c r="P14" s="132">
        <v>397.89</v>
      </c>
      <c r="Q14" s="133">
        <f t="shared" si="15"/>
        <v>0</v>
      </c>
      <c r="R14" s="1">
        <f t="shared" ref="R14:R77" si="21">P14*O14</f>
        <v>2387.35</v>
      </c>
      <c r="S14" s="2">
        <f t="shared" ca="1" si="10"/>
        <v>0</v>
      </c>
      <c r="T14" s="3">
        <f>Z14</f>
        <v>6</v>
      </c>
      <c r="U14" s="4">
        <f t="shared" ref="U14:U77" ca="1" si="22">S14+T14</f>
        <v>6</v>
      </c>
      <c r="V14" s="5"/>
      <c r="W14" s="6">
        <f>IF(O14-Z14&gt;0.01,Z14*P14,R14)</f>
        <v>2387.35</v>
      </c>
      <c r="X14" s="7">
        <f t="shared" ref="X14:X77" si="23">V14+W14</f>
        <v>2387.35</v>
      </c>
      <c r="Y14" s="134"/>
      <c r="Z14" s="135">
        <v>6</v>
      </c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7"/>
      <c r="AL14" s="135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7"/>
      <c r="AX14" s="16"/>
      <c r="AY14" s="138">
        <v>0</v>
      </c>
      <c r="AZ14" s="8">
        <f t="shared" si="16"/>
        <v>0</v>
      </c>
      <c r="BA14" s="139">
        <v>0</v>
      </c>
      <c r="BB14" s="9" t="e">
        <f t="shared" si="11"/>
        <v>#REF!</v>
      </c>
      <c r="BC14" s="10" t="e">
        <f t="shared" si="17"/>
        <v>#REF!</v>
      </c>
      <c r="BD14" s="11" t="e">
        <f t="shared" si="12"/>
        <v>#REF!</v>
      </c>
      <c r="BF14" s="701" t="e">
        <f t="shared" si="18"/>
        <v>#REF!</v>
      </c>
      <c r="BG14" s="702"/>
      <c r="BH14" s="12" t="e">
        <f t="shared" si="19"/>
        <v>#REF!</v>
      </c>
      <c r="BI14" s="703" t="e">
        <f t="shared" si="20"/>
        <v>#REF!</v>
      </c>
      <c r="BJ14" s="704"/>
      <c r="BK14" s="705" t="e">
        <f>IF(BR14&gt;0,CHOOSE(MATCH(RegimeExecucao,{"Unitário","Global"},0),IF($A14="S",BR14/BN14,""),(BR14/BN14)*100),"")</f>
        <v>#REF!</v>
      </c>
      <c r="BL14" s="706"/>
      <c r="BM14" s="707"/>
      <c r="BN14" s="708" t="e">
        <f>IF(BR14&gt;0,CHOOSE(MATCH(RegimeExecucao,{"Unitário","Global"},0),IF($A14="S",ROUND(P14,arredunit),""),ROUND(R14,arredtot)),"")</f>
        <v>#REF!</v>
      </c>
      <c r="BO14" s="709"/>
      <c r="BP14" s="709"/>
      <c r="BQ14" s="710"/>
      <c r="BR14" s="708" t="e">
        <f t="shared" si="1"/>
        <v>#REF!</v>
      </c>
      <c r="BS14" s="709"/>
      <c r="BT14" s="709"/>
      <c r="BU14" s="710"/>
      <c r="BV14" s="711"/>
      <c r="BW14" s="711"/>
      <c r="BX14" s="711"/>
      <c r="BY14" s="711"/>
      <c r="BZ14" s="711"/>
      <c r="CA14" s="712"/>
      <c r="CB14" s="16"/>
      <c r="CC14" s="16"/>
    </row>
    <row r="15" spans="1:81">
      <c r="A15" s="59">
        <f t="shared" si="13"/>
        <v>1</v>
      </c>
      <c r="B15" s="59">
        <f t="shared" ca="1" si="14"/>
        <v>3</v>
      </c>
      <c r="C15" s="59">
        <f t="shared" ca="1" si="2"/>
        <v>2</v>
      </c>
      <c r="D15" s="59">
        <f t="shared" ca="1" si="3"/>
        <v>0</v>
      </c>
      <c r="E15" s="59">
        <f t="shared" ca="1" si="4"/>
        <v>0</v>
      </c>
      <c r="F15" s="59">
        <f t="shared" ca="1" si="5"/>
        <v>0</v>
      </c>
      <c r="G15" s="59">
        <f t="shared" ca="1" si="6"/>
        <v>0</v>
      </c>
      <c r="H15" s="59">
        <f t="shared" ca="1" si="7"/>
        <v>74</v>
      </c>
      <c r="I15" s="59">
        <f t="shared" ca="1" si="8"/>
        <v>3</v>
      </c>
      <c r="J15" s="59">
        <f t="shared" si="9"/>
        <v>0</v>
      </c>
      <c r="K15" s="127" t="str">
        <f>CHOOSE(1+LOG(1+2*($J15=3)+4*($J15=2)+8*($J15=1)+16*(AND($L15&lt;&gt;"",$L15&lt;&gt;0,$J15=0))+32*OR($N15&lt;&gt;"",RegimeExecucao="Global",AND($L15="",$M15="",$N15="")),2),"","Nível 4","Nível 3","Nível 2","Meta","Serviço")</f>
        <v>Meta</v>
      </c>
      <c r="L15" s="128">
        <v>2</v>
      </c>
      <c r="M15" s="129" t="s">
        <v>46</v>
      </c>
      <c r="N15" s="130"/>
      <c r="O15" s="131"/>
      <c r="P15" s="132"/>
      <c r="Q15" s="133">
        <f t="shared" si="15"/>
        <v>9325.42</v>
      </c>
      <c r="R15" s="1">
        <f>SUM(R16:R17)</f>
        <v>9325.42</v>
      </c>
      <c r="S15" s="2">
        <f t="shared" ca="1" si="10"/>
        <v>0</v>
      </c>
      <c r="T15" s="3">
        <f t="shared" ref="T15:T78" si="24">Z15</f>
        <v>0</v>
      </c>
      <c r="U15" s="4">
        <f t="shared" ca="1" si="22"/>
        <v>0</v>
      </c>
      <c r="V15" s="1">
        <f>SUM(V16:V17)</f>
        <v>0</v>
      </c>
      <c r="W15" s="1">
        <f>SUM(W16:W17)</f>
        <v>1184.8499999999999</v>
      </c>
      <c r="X15" s="7">
        <f t="shared" si="23"/>
        <v>1184.8499999999999</v>
      </c>
      <c r="Y15" s="134"/>
      <c r="Z15" s="135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7"/>
      <c r="AL15" s="135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7"/>
      <c r="AX15" s="16"/>
      <c r="AY15" s="138">
        <v>0</v>
      </c>
      <c r="AZ15" s="8">
        <f t="shared" si="16"/>
        <v>0</v>
      </c>
      <c r="BA15" s="139">
        <v>0</v>
      </c>
      <c r="BB15" s="9" t="e">
        <f t="shared" ca="1" si="11"/>
        <v>#REF!</v>
      </c>
      <c r="BC15" s="10" t="e">
        <f t="shared" ca="1" si="17"/>
        <v>#REF!</v>
      </c>
      <c r="BD15" s="11" t="e">
        <f t="shared" ca="1" si="12"/>
        <v>#REF!</v>
      </c>
      <c r="BF15" s="701" t="e">
        <f t="shared" ca="1" si="18"/>
        <v>#REF!</v>
      </c>
      <c r="BG15" s="702"/>
      <c r="BH15" s="12" t="e">
        <f t="shared" ca="1" si="19"/>
        <v>#REF!</v>
      </c>
      <c r="BI15" s="703" t="e">
        <f t="shared" ca="1" si="20"/>
        <v>#REF!</v>
      </c>
      <c r="BJ15" s="704"/>
      <c r="BK15" s="705" t="e">
        <f ca="1">IF(BR15&gt;0,CHOOSE(MATCH(RegimeExecucao,{"Unitário","Global"},0),IF($A15="S",BR15/BN15,""),(BR15/BN15)*100),"")</f>
        <v>#REF!</v>
      </c>
      <c r="BL15" s="706"/>
      <c r="BM15" s="707"/>
      <c r="BN15" s="708" t="e">
        <f ca="1">IF(BR15&gt;0,CHOOSE(MATCH(RegimeExecucao,{"Unitário","Global"},0),IF($A15="S",ROUND(P15,arredunit),""),ROUND(R15,arredtot)),"")</f>
        <v>#REF!</v>
      </c>
      <c r="BO15" s="709"/>
      <c r="BP15" s="709"/>
      <c r="BQ15" s="710"/>
      <c r="BR15" s="708" t="e">
        <f t="shared" ca="1" si="1"/>
        <v>#REF!</v>
      </c>
      <c r="BS15" s="709"/>
      <c r="BT15" s="709"/>
      <c r="BU15" s="710"/>
      <c r="BV15" s="711"/>
      <c r="BW15" s="711"/>
      <c r="BX15" s="711"/>
      <c r="BY15" s="711"/>
      <c r="BZ15" s="711"/>
      <c r="CA15" s="712"/>
      <c r="CB15" s="16"/>
      <c r="CC15" s="16"/>
    </row>
    <row r="16" spans="1:81" ht="26.4">
      <c r="A16" s="59" t="str">
        <f t="shared" si="13"/>
        <v>S</v>
      </c>
      <c r="B16" s="59">
        <f t="shared" si="14"/>
        <v>0</v>
      </c>
      <c r="C16" s="59">
        <f t="shared" ca="1" si="2"/>
        <v>2</v>
      </c>
      <c r="D16" s="59">
        <f t="shared" ca="1" si="3"/>
        <v>0</v>
      </c>
      <c r="E16" s="59">
        <f t="shared" ca="1" si="4"/>
        <v>0</v>
      </c>
      <c r="F16" s="59">
        <f t="shared" ca="1" si="5"/>
        <v>0</v>
      </c>
      <c r="G16" s="59">
        <f t="shared" ca="1" si="6"/>
        <v>1</v>
      </c>
      <c r="H16" s="59">
        <f t="shared" ca="1" si="7"/>
        <v>0</v>
      </c>
      <c r="I16" s="59">
        <f t="shared" ca="1" si="8"/>
        <v>0</v>
      </c>
      <c r="J16" s="59">
        <f t="shared" si="9"/>
        <v>1</v>
      </c>
      <c r="K16" s="127" t="s">
        <v>4</v>
      </c>
      <c r="L16" s="165" t="s">
        <v>47</v>
      </c>
      <c r="M16" s="129" t="s">
        <v>48</v>
      </c>
      <c r="N16" s="130" t="s">
        <v>49</v>
      </c>
      <c r="O16" s="131">
        <v>21.998700334199775</v>
      </c>
      <c r="P16" s="132">
        <v>53.86</v>
      </c>
      <c r="Q16" s="133">
        <f t="shared" si="15"/>
        <v>0</v>
      </c>
      <c r="R16" s="1">
        <f t="shared" si="21"/>
        <v>1184.8499999999999</v>
      </c>
      <c r="S16" s="2">
        <f t="shared" ca="1" si="10"/>
        <v>0</v>
      </c>
      <c r="T16" s="3">
        <f t="shared" si="24"/>
        <v>22</v>
      </c>
      <c r="U16" s="4">
        <f t="shared" ca="1" si="22"/>
        <v>22</v>
      </c>
      <c r="V16" s="5"/>
      <c r="W16" s="6">
        <f t="shared" ref="W16:W78" si="25">IF(O16-Z16&gt;0.01,Z16*P16,R16)</f>
        <v>1184.8499999999999</v>
      </c>
      <c r="X16" s="7">
        <f t="shared" si="23"/>
        <v>1184.8499999999999</v>
      </c>
      <c r="Y16" s="134"/>
      <c r="Z16" s="135">
        <v>22</v>
      </c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7"/>
      <c r="AL16" s="135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7"/>
      <c r="AX16" s="16"/>
      <c r="AY16" s="138">
        <v>0</v>
      </c>
      <c r="AZ16" s="8">
        <f t="shared" si="16"/>
        <v>0</v>
      </c>
      <c r="BA16" s="139">
        <v>0</v>
      </c>
      <c r="BB16" s="9" t="e">
        <f t="shared" si="11"/>
        <v>#REF!</v>
      </c>
      <c r="BC16" s="10" t="e">
        <f t="shared" si="17"/>
        <v>#REF!</v>
      </c>
      <c r="BD16" s="11" t="e">
        <f t="shared" si="12"/>
        <v>#REF!</v>
      </c>
      <c r="BF16" s="701" t="e">
        <f t="shared" si="18"/>
        <v>#REF!</v>
      </c>
      <c r="BG16" s="702"/>
      <c r="BH16" s="12" t="e">
        <f t="shared" si="19"/>
        <v>#REF!</v>
      </c>
      <c r="BI16" s="703" t="e">
        <f t="shared" si="20"/>
        <v>#REF!</v>
      </c>
      <c r="BJ16" s="704"/>
      <c r="BK16" s="705" t="e">
        <f>IF(BR16&gt;0,CHOOSE(MATCH(RegimeExecucao,{"Unitário","Global"},0),IF($A16="S",BR16/BN16,""),(BR16/BN16)*100),"")</f>
        <v>#REF!</v>
      </c>
      <c r="BL16" s="706"/>
      <c r="BM16" s="707"/>
      <c r="BN16" s="708" t="e">
        <f>IF(BR16&gt;0,CHOOSE(MATCH(RegimeExecucao,{"Unitário","Global"},0),IF($A16="S",ROUND(P16,arredunit),""),ROUND(R16,arredtot)),"")</f>
        <v>#REF!</v>
      </c>
      <c r="BO16" s="709"/>
      <c r="BP16" s="709"/>
      <c r="BQ16" s="710"/>
      <c r="BR16" s="708" t="e">
        <f t="shared" si="1"/>
        <v>#REF!</v>
      </c>
      <c r="BS16" s="709"/>
      <c r="BT16" s="709"/>
      <c r="BU16" s="710"/>
      <c r="BV16" s="711"/>
      <c r="BW16" s="711"/>
      <c r="BX16" s="711"/>
      <c r="BY16" s="711"/>
      <c r="BZ16" s="711"/>
      <c r="CA16" s="712"/>
      <c r="CB16" s="16"/>
      <c r="CC16" s="16"/>
    </row>
    <row r="17" spans="1:81" ht="26.4">
      <c r="A17" s="59" t="str">
        <f t="shared" si="13"/>
        <v>S</v>
      </c>
      <c r="B17" s="59">
        <f t="shared" si="14"/>
        <v>0</v>
      </c>
      <c r="C17" s="59">
        <f t="shared" ca="1" si="2"/>
        <v>2</v>
      </c>
      <c r="D17" s="59">
        <f t="shared" ca="1" si="3"/>
        <v>0</v>
      </c>
      <c r="E17" s="59">
        <f t="shared" ca="1" si="4"/>
        <v>0</v>
      </c>
      <c r="F17" s="59">
        <f t="shared" ca="1" si="5"/>
        <v>0</v>
      </c>
      <c r="G17" s="59">
        <f t="shared" ca="1" si="6"/>
        <v>2</v>
      </c>
      <c r="H17" s="59">
        <f t="shared" ca="1" si="7"/>
        <v>0</v>
      </c>
      <c r="I17" s="59">
        <f t="shared" ca="1" si="8"/>
        <v>0</v>
      </c>
      <c r="J17" s="59">
        <f t="shared" si="9"/>
        <v>1</v>
      </c>
      <c r="K17" s="127" t="s">
        <v>4</v>
      </c>
      <c r="L17" s="165" t="s">
        <v>50</v>
      </c>
      <c r="M17" s="129" t="s">
        <v>51</v>
      </c>
      <c r="N17" s="130" t="s">
        <v>43</v>
      </c>
      <c r="O17" s="131">
        <v>386.9</v>
      </c>
      <c r="P17" s="132">
        <v>21.040501421555959</v>
      </c>
      <c r="Q17" s="133">
        <f t="shared" si="15"/>
        <v>0</v>
      </c>
      <c r="R17" s="1">
        <f t="shared" si="21"/>
        <v>8140.57</v>
      </c>
      <c r="S17" s="2">
        <f t="shared" ca="1" si="10"/>
        <v>0</v>
      </c>
      <c r="T17" s="3">
        <f t="shared" si="24"/>
        <v>0</v>
      </c>
      <c r="U17" s="4">
        <f t="shared" ca="1" si="22"/>
        <v>0</v>
      </c>
      <c r="V17" s="5"/>
      <c r="W17" s="6">
        <f t="shared" si="25"/>
        <v>0</v>
      </c>
      <c r="X17" s="7">
        <f t="shared" si="23"/>
        <v>0</v>
      </c>
      <c r="Y17" s="134"/>
      <c r="Z17" s="135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7"/>
      <c r="AL17" s="135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7"/>
      <c r="AX17" s="16"/>
      <c r="AY17" s="138">
        <v>0</v>
      </c>
      <c r="AZ17" s="8">
        <f t="shared" si="16"/>
        <v>0</v>
      </c>
      <c r="BA17" s="139">
        <v>0</v>
      </c>
      <c r="BB17" s="9" t="e">
        <f t="shared" si="11"/>
        <v>#REF!</v>
      </c>
      <c r="BC17" s="10" t="e">
        <f t="shared" si="17"/>
        <v>#REF!</v>
      </c>
      <c r="BD17" s="11" t="e">
        <f t="shared" si="12"/>
        <v>#REF!</v>
      </c>
      <c r="BF17" s="701" t="e">
        <f t="shared" si="18"/>
        <v>#REF!</v>
      </c>
      <c r="BG17" s="702"/>
      <c r="BH17" s="12" t="e">
        <f t="shared" si="19"/>
        <v>#REF!</v>
      </c>
      <c r="BI17" s="703" t="e">
        <f t="shared" si="20"/>
        <v>#REF!</v>
      </c>
      <c r="BJ17" s="704"/>
      <c r="BK17" s="705" t="e">
        <f>IF(BR17&gt;0,CHOOSE(MATCH(RegimeExecucao,{"Unitário","Global"},0),IF($A17="S",BR17/BN17,""),(BR17/BN17)*100),"")</f>
        <v>#REF!</v>
      </c>
      <c r="BL17" s="706"/>
      <c r="BM17" s="707"/>
      <c r="BN17" s="708" t="e">
        <f>IF(BR17&gt;0,CHOOSE(MATCH(RegimeExecucao,{"Unitário","Global"},0),IF($A17="S",ROUND(P17,arredunit),""),ROUND(R17,arredtot)),"")</f>
        <v>#REF!</v>
      </c>
      <c r="BO17" s="709"/>
      <c r="BP17" s="709"/>
      <c r="BQ17" s="710"/>
      <c r="BR17" s="708" t="e">
        <f t="shared" si="1"/>
        <v>#REF!</v>
      </c>
      <c r="BS17" s="709"/>
      <c r="BT17" s="709"/>
      <c r="BU17" s="710"/>
      <c r="BV17" s="711"/>
      <c r="BW17" s="711"/>
      <c r="BX17" s="711"/>
      <c r="BY17" s="711"/>
      <c r="BZ17" s="711"/>
      <c r="CA17" s="712"/>
      <c r="CB17" s="16"/>
      <c r="CC17" s="16"/>
    </row>
    <row r="18" spans="1:81">
      <c r="A18" s="59">
        <f t="shared" si="13"/>
        <v>1</v>
      </c>
      <c r="B18" s="59">
        <f t="shared" ca="1" si="14"/>
        <v>13</v>
      </c>
      <c r="C18" s="59">
        <f t="shared" ca="1" si="2"/>
        <v>3</v>
      </c>
      <c r="D18" s="59">
        <f t="shared" ca="1" si="3"/>
        <v>0</v>
      </c>
      <c r="E18" s="59">
        <f t="shared" ca="1" si="4"/>
        <v>0</v>
      </c>
      <c r="F18" s="59">
        <f t="shared" ca="1" si="5"/>
        <v>0</v>
      </c>
      <c r="G18" s="59">
        <f t="shared" ca="1" si="6"/>
        <v>0</v>
      </c>
      <c r="H18" s="59">
        <f t="shared" ca="1" si="7"/>
        <v>71</v>
      </c>
      <c r="I18" s="59">
        <f t="shared" ca="1" si="8"/>
        <v>13</v>
      </c>
      <c r="J18" s="59">
        <f t="shared" si="9"/>
        <v>0</v>
      </c>
      <c r="K18" s="127" t="str">
        <f>CHOOSE(1+LOG(1+2*($J18=3)+4*($J18=2)+8*($J18=1)+16*(AND($L18&lt;&gt;"",$L18&lt;&gt;0,$J18=0))+32*OR($N18&lt;&gt;"",RegimeExecucao="Global",AND($L18="",$M18="",$N18="")),2),"","Nível 4","Nível 3","Nível 2","Meta","Serviço")</f>
        <v>Meta</v>
      </c>
      <c r="L18" s="128">
        <v>3</v>
      </c>
      <c r="M18" s="129" t="s">
        <v>52</v>
      </c>
      <c r="N18" s="130"/>
      <c r="O18" s="131"/>
      <c r="P18" s="132"/>
      <c r="Q18" s="133">
        <f t="shared" si="15"/>
        <v>5749.829999999999</v>
      </c>
      <c r="R18" s="1">
        <f>SUM(R19,R28)</f>
        <v>5749.829999999999</v>
      </c>
      <c r="S18" s="2">
        <f t="shared" ca="1" si="10"/>
        <v>0</v>
      </c>
      <c r="T18" s="3">
        <f t="shared" si="24"/>
        <v>0</v>
      </c>
      <c r="U18" s="4">
        <f t="shared" ca="1" si="22"/>
        <v>0</v>
      </c>
      <c r="V18" s="1">
        <f>SUM(V19,V28)</f>
        <v>0</v>
      </c>
      <c r="W18" s="1">
        <f>SUM(W19,W28)</f>
        <v>5749.829999999999</v>
      </c>
      <c r="X18" s="7">
        <f t="shared" si="23"/>
        <v>5749.829999999999</v>
      </c>
      <c r="Y18" s="134"/>
      <c r="Z18" s="135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7"/>
      <c r="AL18" s="135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7"/>
      <c r="AX18" s="16"/>
      <c r="AY18" s="138">
        <v>0</v>
      </c>
      <c r="AZ18" s="8">
        <f t="shared" si="16"/>
        <v>0</v>
      </c>
      <c r="BA18" s="139">
        <v>0</v>
      </c>
      <c r="BB18" s="9" t="e">
        <f t="shared" ca="1" si="11"/>
        <v>#REF!</v>
      </c>
      <c r="BC18" s="10" t="e">
        <f t="shared" ca="1" si="17"/>
        <v>#REF!</v>
      </c>
      <c r="BD18" s="11" t="e">
        <f t="shared" ca="1" si="12"/>
        <v>#REF!</v>
      </c>
      <c r="BF18" s="701" t="e">
        <f t="shared" ca="1" si="18"/>
        <v>#REF!</v>
      </c>
      <c r="BG18" s="702"/>
      <c r="BH18" s="12" t="e">
        <f t="shared" ca="1" si="19"/>
        <v>#REF!</v>
      </c>
      <c r="BI18" s="703" t="e">
        <f t="shared" ca="1" si="20"/>
        <v>#REF!</v>
      </c>
      <c r="BJ18" s="704"/>
      <c r="BK18" s="705" t="e">
        <f ca="1">IF(BR18&gt;0,CHOOSE(MATCH(RegimeExecucao,{"Unitário","Global"},0),IF($A18="S",BR18/BN18,""),(BR18/BN18)*100),"")</f>
        <v>#REF!</v>
      </c>
      <c r="BL18" s="706"/>
      <c r="BM18" s="707"/>
      <c r="BN18" s="708" t="e">
        <f ca="1">IF(BR18&gt;0,CHOOSE(MATCH(RegimeExecucao,{"Unitário","Global"},0),IF($A18="S",ROUND(P18,arredunit),""),ROUND(R18,arredtot)),"")</f>
        <v>#REF!</v>
      </c>
      <c r="BO18" s="709"/>
      <c r="BP18" s="709"/>
      <c r="BQ18" s="710"/>
      <c r="BR18" s="708" t="e">
        <f t="shared" ca="1" si="1"/>
        <v>#REF!</v>
      </c>
      <c r="BS18" s="709"/>
      <c r="BT18" s="709"/>
      <c r="BU18" s="710"/>
      <c r="BV18" s="711"/>
      <c r="BW18" s="711"/>
      <c r="BX18" s="711"/>
      <c r="BY18" s="711"/>
      <c r="BZ18" s="711"/>
      <c r="CA18" s="712"/>
      <c r="CB18" s="16"/>
      <c r="CC18" s="16"/>
    </row>
    <row r="19" spans="1:81">
      <c r="A19" s="59">
        <f t="shared" si="13"/>
        <v>2</v>
      </c>
      <c r="B19" s="59">
        <f t="shared" ca="1" si="14"/>
        <v>9</v>
      </c>
      <c r="C19" s="59">
        <f t="shared" ca="1" si="2"/>
        <v>3</v>
      </c>
      <c r="D19" s="59">
        <f t="shared" ca="1" si="3"/>
        <v>1</v>
      </c>
      <c r="E19" s="59">
        <f t="shared" ca="1" si="4"/>
        <v>0</v>
      </c>
      <c r="F19" s="59">
        <f t="shared" ca="1" si="5"/>
        <v>0</v>
      </c>
      <c r="G19" s="59">
        <f t="shared" ca="1" si="6"/>
        <v>0</v>
      </c>
      <c r="H19" s="59">
        <f t="shared" ca="1" si="7"/>
        <v>12</v>
      </c>
      <c r="I19" s="59">
        <f t="shared" ca="1" si="8"/>
        <v>9</v>
      </c>
      <c r="J19" s="59">
        <f t="shared" si="9"/>
        <v>1</v>
      </c>
      <c r="K19" s="127" t="str">
        <f>CHOOSE(1+LOG(1+2*($J19=3)+4*($J19=2)+8*($J19=1)+16*(AND($L19&lt;&gt;"",$L19&lt;&gt;0,$J19=0))+32*OR($N19&lt;&gt;"",RegimeExecucao="Global",AND($L19="",$M19="",$N19="")),2),"","Nível 4","Nível 3","Nível 2","Meta","Serviço")</f>
        <v>Nível 2</v>
      </c>
      <c r="L19" s="165" t="s">
        <v>53</v>
      </c>
      <c r="M19" s="129" t="s">
        <v>54</v>
      </c>
      <c r="N19" s="130"/>
      <c r="O19" s="131"/>
      <c r="P19" s="132"/>
      <c r="Q19" s="133">
        <f t="shared" si="15"/>
        <v>4804.7679999999991</v>
      </c>
      <c r="R19" s="1">
        <f>SUM(R20:R27)</f>
        <v>4804.7679999999991</v>
      </c>
      <c r="S19" s="2">
        <f t="shared" ca="1" si="10"/>
        <v>0</v>
      </c>
      <c r="T19" s="3">
        <f t="shared" si="24"/>
        <v>0</v>
      </c>
      <c r="U19" s="4">
        <f t="shared" ca="1" si="22"/>
        <v>0</v>
      </c>
      <c r="V19" s="1">
        <f>SUM(V20:V27)</f>
        <v>0</v>
      </c>
      <c r="W19" s="1">
        <f>SUM(W20:W27)</f>
        <v>4804.7679999999991</v>
      </c>
      <c r="X19" s="7">
        <f t="shared" si="23"/>
        <v>4804.7679999999991</v>
      </c>
      <c r="Y19" s="134"/>
      <c r="Z19" s="135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7"/>
      <c r="AL19" s="135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7"/>
      <c r="AX19" s="16"/>
      <c r="AY19" s="138">
        <v>0</v>
      </c>
      <c r="AZ19" s="8">
        <f t="shared" si="16"/>
        <v>0</v>
      </c>
      <c r="BA19" s="139">
        <v>0</v>
      </c>
      <c r="BB19" s="9" t="e">
        <f t="shared" ca="1" si="11"/>
        <v>#REF!</v>
      </c>
      <c r="BC19" s="10" t="e">
        <f t="shared" ca="1" si="17"/>
        <v>#REF!</v>
      </c>
      <c r="BD19" s="11" t="e">
        <f t="shared" ca="1" si="12"/>
        <v>#REF!</v>
      </c>
      <c r="BF19" s="701" t="e">
        <f t="shared" ca="1" si="18"/>
        <v>#REF!</v>
      </c>
      <c r="BG19" s="702"/>
      <c r="BH19" s="12" t="e">
        <f t="shared" ca="1" si="19"/>
        <v>#REF!</v>
      </c>
      <c r="BI19" s="703" t="e">
        <f t="shared" ca="1" si="20"/>
        <v>#REF!</v>
      </c>
      <c r="BJ19" s="704"/>
      <c r="BK19" s="705" t="e">
        <f ca="1">IF(BR19&gt;0,CHOOSE(MATCH(RegimeExecucao,{"Unitário","Global"},0),IF($A19="S",BR19/BN19,""),(BR19/BN19)*100),"")</f>
        <v>#REF!</v>
      </c>
      <c r="BL19" s="706"/>
      <c r="BM19" s="707"/>
      <c r="BN19" s="708" t="e">
        <f ca="1">IF(BR19&gt;0,CHOOSE(MATCH(RegimeExecucao,{"Unitário","Global"},0),IF($A19="S",ROUND(P19,arredunit),""),ROUND(R19,arredtot)),"")</f>
        <v>#REF!</v>
      </c>
      <c r="BO19" s="709"/>
      <c r="BP19" s="709"/>
      <c r="BQ19" s="710"/>
      <c r="BR19" s="708" t="e">
        <f t="shared" ca="1" si="1"/>
        <v>#REF!</v>
      </c>
      <c r="BS19" s="709"/>
      <c r="BT19" s="709"/>
      <c r="BU19" s="710"/>
      <c r="BV19" s="711"/>
      <c r="BW19" s="711"/>
      <c r="BX19" s="711"/>
      <c r="BY19" s="711"/>
      <c r="BZ19" s="711"/>
      <c r="CA19" s="712"/>
      <c r="CB19" s="16"/>
      <c r="CC19" s="16"/>
    </row>
    <row r="20" spans="1:81" ht="26.4">
      <c r="A20" s="59" t="str">
        <f t="shared" si="13"/>
        <v>S</v>
      </c>
      <c r="B20" s="59">
        <f t="shared" si="14"/>
        <v>0</v>
      </c>
      <c r="C20" s="59">
        <f t="shared" ca="1" si="2"/>
        <v>3</v>
      </c>
      <c r="D20" s="59">
        <f t="shared" ca="1" si="3"/>
        <v>1</v>
      </c>
      <c r="E20" s="59">
        <f t="shared" ca="1" si="4"/>
        <v>0</v>
      </c>
      <c r="F20" s="59">
        <f t="shared" ca="1" si="5"/>
        <v>0</v>
      </c>
      <c r="G20" s="59">
        <f t="shared" ca="1" si="6"/>
        <v>1</v>
      </c>
      <c r="H20" s="59">
        <f t="shared" ca="1" si="7"/>
        <v>0</v>
      </c>
      <c r="I20" s="59">
        <f t="shared" ca="1" si="8"/>
        <v>0</v>
      </c>
      <c r="J20" s="59">
        <f t="shared" si="9"/>
        <v>2</v>
      </c>
      <c r="K20" s="127" t="s">
        <v>4</v>
      </c>
      <c r="L20" s="165" t="s">
        <v>55</v>
      </c>
      <c r="M20" s="129" t="s">
        <v>56</v>
      </c>
      <c r="N20" s="130" t="s">
        <v>49</v>
      </c>
      <c r="O20" s="131">
        <v>3.3</v>
      </c>
      <c r="P20" s="132">
        <v>82.16</v>
      </c>
      <c r="Q20" s="133">
        <f t="shared" si="15"/>
        <v>0</v>
      </c>
      <c r="R20" s="1">
        <f t="shared" si="21"/>
        <v>271.12799999999999</v>
      </c>
      <c r="S20" s="2">
        <f t="shared" ca="1" si="10"/>
        <v>0</v>
      </c>
      <c r="T20" s="3">
        <f t="shared" si="24"/>
        <v>3.3</v>
      </c>
      <c r="U20" s="4">
        <f t="shared" ca="1" si="22"/>
        <v>3.3</v>
      </c>
      <c r="V20" s="5"/>
      <c r="W20" s="6">
        <f t="shared" si="25"/>
        <v>271.12799999999999</v>
      </c>
      <c r="X20" s="7">
        <f t="shared" si="23"/>
        <v>271.12799999999999</v>
      </c>
      <c r="Y20" s="134"/>
      <c r="Z20" s="135">
        <v>3.3</v>
      </c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7"/>
      <c r="AL20" s="135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7"/>
      <c r="AX20" s="16"/>
      <c r="AY20" s="138">
        <v>0</v>
      </c>
      <c r="AZ20" s="8">
        <f t="shared" si="16"/>
        <v>0</v>
      </c>
      <c r="BA20" s="139">
        <v>0</v>
      </c>
      <c r="BB20" s="9" t="e">
        <f t="shared" si="11"/>
        <v>#REF!</v>
      </c>
      <c r="BC20" s="10" t="e">
        <f t="shared" si="17"/>
        <v>#REF!</v>
      </c>
      <c r="BD20" s="11" t="e">
        <f t="shared" si="12"/>
        <v>#REF!</v>
      </c>
      <c r="BF20" s="701" t="e">
        <f t="shared" si="18"/>
        <v>#REF!</v>
      </c>
      <c r="BG20" s="702"/>
      <c r="BH20" s="12" t="e">
        <f t="shared" si="19"/>
        <v>#REF!</v>
      </c>
      <c r="BI20" s="703" t="e">
        <f t="shared" si="20"/>
        <v>#REF!</v>
      </c>
      <c r="BJ20" s="704"/>
      <c r="BK20" s="705" t="e">
        <f>IF(BR20&gt;0,CHOOSE(MATCH(RegimeExecucao,{"Unitário","Global"},0),IF($A20="S",BR20/BN20,""),(BR20/BN20)*100),"")</f>
        <v>#REF!</v>
      </c>
      <c r="BL20" s="706"/>
      <c r="BM20" s="707"/>
      <c r="BN20" s="708" t="e">
        <f>IF(BR20&gt;0,CHOOSE(MATCH(RegimeExecucao,{"Unitário","Global"},0),IF($A20="S",ROUND(P20,arredunit),""),ROUND(R20,arredtot)),"")</f>
        <v>#REF!</v>
      </c>
      <c r="BO20" s="709"/>
      <c r="BP20" s="709"/>
      <c r="BQ20" s="710"/>
      <c r="BR20" s="708" t="e">
        <f t="shared" si="1"/>
        <v>#REF!</v>
      </c>
      <c r="BS20" s="709"/>
      <c r="BT20" s="709"/>
      <c r="BU20" s="710"/>
      <c r="BV20" s="711"/>
      <c r="BW20" s="711"/>
      <c r="BX20" s="711"/>
      <c r="BY20" s="711"/>
      <c r="BZ20" s="711"/>
      <c r="CA20" s="712"/>
      <c r="CB20" s="16"/>
      <c r="CC20" s="16"/>
    </row>
    <row r="21" spans="1:81" ht="39.6">
      <c r="A21" s="59" t="str">
        <f t="shared" si="13"/>
        <v>S</v>
      </c>
      <c r="B21" s="59">
        <f t="shared" si="14"/>
        <v>0</v>
      </c>
      <c r="C21" s="59">
        <f t="shared" ca="1" si="2"/>
        <v>3</v>
      </c>
      <c r="D21" s="59">
        <f t="shared" ca="1" si="3"/>
        <v>1</v>
      </c>
      <c r="E21" s="59">
        <f t="shared" ca="1" si="4"/>
        <v>0</v>
      </c>
      <c r="F21" s="59">
        <f t="shared" ca="1" si="5"/>
        <v>0</v>
      </c>
      <c r="G21" s="59">
        <f t="shared" ca="1" si="6"/>
        <v>2</v>
      </c>
      <c r="H21" s="59">
        <f t="shared" ca="1" si="7"/>
        <v>0</v>
      </c>
      <c r="I21" s="59">
        <f t="shared" ca="1" si="8"/>
        <v>0</v>
      </c>
      <c r="J21" s="59">
        <f t="shared" si="9"/>
        <v>2</v>
      </c>
      <c r="K21" s="127" t="s">
        <v>4</v>
      </c>
      <c r="L21" s="165" t="s">
        <v>57</v>
      </c>
      <c r="M21" s="166" t="s">
        <v>58</v>
      </c>
      <c r="N21" s="130" t="s">
        <v>59</v>
      </c>
      <c r="O21" s="131">
        <v>28.000366837857662</v>
      </c>
      <c r="P21" s="132">
        <v>54.52</v>
      </c>
      <c r="Q21" s="133">
        <f t="shared" si="15"/>
        <v>0</v>
      </c>
      <c r="R21" s="1">
        <f t="shared" si="21"/>
        <v>1526.58</v>
      </c>
      <c r="S21" s="2">
        <f t="shared" ca="1" si="10"/>
        <v>0</v>
      </c>
      <c r="T21" s="3">
        <f t="shared" si="24"/>
        <v>28</v>
      </c>
      <c r="U21" s="4">
        <f t="shared" ca="1" si="22"/>
        <v>28</v>
      </c>
      <c r="V21" s="5"/>
      <c r="W21" s="6">
        <f t="shared" si="25"/>
        <v>1526.58</v>
      </c>
      <c r="X21" s="7">
        <f t="shared" si="23"/>
        <v>1526.58</v>
      </c>
      <c r="Y21" s="134"/>
      <c r="Z21" s="135">
        <v>28</v>
      </c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7"/>
      <c r="AL21" s="135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7"/>
      <c r="AX21" s="16"/>
      <c r="AY21" s="138">
        <v>0</v>
      </c>
      <c r="AZ21" s="8">
        <f t="shared" si="16"/>
        <v>0</v>
      </c>
      <c r="BA21" s="139">
        <v>0</v>
      </c>
      <c r="BB21" s="9" t="e">
        <f t="shared" si="11"/>
        <v>#REF!</v>
      </c>
      <c r="BC21" s="10" t="e">
        <f t="shared" si="17"/>
        <v>#REF!</v>
      </c>
      <c r="BD21" s="11" t="e">
        <f t="shared" si="12"/>
        <v>#REF!</v>
      </c>
      <c r="BF21" s="701" t="e">
        <f t="shared" si="18"/>
        <v>#REF!</v>
      </c>
      <c r="BG21" s="702"/>
      <c r="BH21" s="12" t="e">
        <f t="shared" si="19"/>
        <v>#REF!</v>
      </c>
      <c r="BI21" s="703" t="e">
        <f t="shared" si="20"/>
        <v>#REF!</v>
      </c>
      <c r="BJ21" s="704"/>
      <c r="BK21" s="705" t="e">
        <f>IF(BR21&gt;0,CHOOSE(MATCH(RegimeExecucao,{"Unitário","Global"},0),IF($A21="S",BR21/BN21,""),(BR21/BN21)*100),"")</f>
        <v>#REF!</v>
      </c>
      <c r="BL21" s="706"/>
      <c r="BM21" s="707"/>
      <c r="BN21" s="708" t="e">
        <f>IF(BR21&gt;0,CHOOSE(MATCH(RegimeExecucao,{"Unitário","Global"},0),IF($A21="S",ROUND(P21,arredunit),""),ROUND(R21,arredtot)),"")</f>
        <v>#REF!</v>
      </c>
      <c r="BO21" s="709"/>
      <c r="BP21" s="709"/>
      <c r="BQ21" s="710"/>
      <c r="BR21" s="708" t="e">
        <f t="shared" si="1"/>
        <v>#REF!</v>
      </c>
      <c r="BS21" s="709"/>
      <c r="BT21" s="709"/>
      <c r="BU21" s="710"/>
      <c r="BV21" s="711"/>
      <c r="BW21" s="711"/>
      <c r="BX21" s="711"/>
      <c r="BY21" s="711"/>
      <c r="BZ21" s="711"/>
      <c r="CA21" s="712"/>
      <c r="CB21" s="16"/>
      <c r="CC21" s="16"/>
    </row>
    <row r="22" spans="1:81" ht="26.4">
      <c r="A22" s="59" t="str">
        <f t="shared" si="13"/>
        <v>S</v>
      </c>
      <c r="B22" s="59">
        <f t="shared" si="14"/>
        <v>0</v>
      </c>
      <c r="C22" s="59">
        <f t="shared" ca="1" si="2"/>
        <v>3</v>
      </c>
      <c r="D22" s="59">
        <f t="shared" ca="1" si="3"/>
        <v>1</v>
      </c>
      <c r="E22" s="59">
        <f t="shared" ca="1" si="4"/>
        <v>0</v>
      </c>
      <c r="F22" s="59">
        <f t="shared" ca="1" si="5"/>
        <v>0</v>
      </c>
      <c r="G22" s="59">
        <f t="shared" ca="1" si="6"/>
        <v>3</v>
      </c>
      <c r="H22" s="59">
        <f t="shared" ca="1" si="7"/>
        <v>0</v>
      </c>
      <c r="I22" s="59">
        <f t="shared" ca="1" si="8"/>
        <v>0</v>
      </c>
      <c r="J22" s="59">
        <f t="shared" si="9"/>
        <v>2</v>
      </c>
      <c r="K22" s="127" t="s">
        <v>4</v>
      </c>
      <c r="L22" s="165" t="s">
        <v>60</v>
      </c>
      <c r="M22" s="129" t="s">
        <v>61</v>
      </c>
      <c r="N22" s="130" t="s">
        <v>49</v>
      </c>
      <c r="O22" s="131">
        <v>0.4</v>
      </c>
      <c r="P22" s="132">
        <v>166.35</v>
      </c>
      <c r="Q22" s="133">
        <f t="shared" si="15"/>
        <v>0</v>
      </c>
      <c r="R22" s="1">
        <f t="shared" si="21"/>
        <v>66.540000000000006</v>
      </c>
      <c r="S22" s="2">
        <f t="shared" ca="1" si="10"/>
        <v>0</v>
      </c>
      <c r="T22" s="3">
        <f t="shared" si="24"/>
        <v>0.4</v>
      </c>
      <c r="U22" s="4">
        <f t="shared" ca="1" si="22"/>
        <v>0.4</v>
      </c>
      <c r="V22" s="5"/>
      <c r="W22" s="6">
        <f t="shared" si="25"/>
        <v>66.540000000000006</v>
      </c>
      <c r="X22" s="7">
        <f t="shared" si="23"/>
        <v>66.540000000000006</v>
      </c>
      <c r="Y22" s="134"/>
      <c r="Z22" s="135">
        <v>0.4</v>
      </c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7"/>
      <c r="AL22" s="135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7"/>
      <c r="AX22" s="16"/>
      <c r="AY22" s="138">
        <v>0</v>
      </c>
      <c r="AZ22" s="8">
        <f t="shared" si="16"/>
        <v>0</v>
      </c>
      <c r="BA22" s="139">
        <v>0</v>
      </c>
      <c r="BB22" s="9" t="e">
        <f t="shared" si="11"/>
        <v>#REF!</v>
      </c>
      <c r="BC22" s="10" t="e">
        <f t="shared" si="17"/>
        <v>#REF!</v>
      </c>
      <c r="BD22" s="11" t="e">
        <f t="shared" si="12"/>
        <v>#REF!</v>
      </c>
      <c r="BF22" s="701" t="e">
        <f t="shared" si="18"/>
        <v>#REF!</v>
      </c>
      <c r="BG22" s="702"/>
      <c r="BH22" s="12" t="e">
        <f t="shared" si="19"/>
        <v>#REF!</v>
      </c>
      <c r="BI22" s="703" t="e">
        <f t="shared" si="20"/>
        <v>#REF!</v>
      </c>
      <c r="BJ22" s="704"/>
      <c r="BK22" s="705" t="e">
        <f>IF(BR22&gt;0,CHOOSE(MATCH(RegimeExecucao,{"Unitário","Global"},0),IF($A22="S",BR22/BN22,""),(BR22/BN22)*100),"")</f>
        <v>#REF!</v>
      </c>
      <c r="BL22" s="706"/>
      <c r="BM22" s="707"/>
      <c r="BN22" s="708" t="e">
        <f>IF(BR22&gt;0,CHOOSE(MATCH(RegimeExecucao,{"Unitário","Global"},0),IF($A22="S",ROUND(P22,arredunit),""),ROUND(R22,arredtot)),"")</f>
        <v>#REF!</v>
      </c>
      <c r="BO22" s="709"/>
      <c r="BP22" s="709"/>
      <c r="BQ22" s="710"/>
      <c r="BR22" s="708" t="e">
        <f t="shared" si="1"/>
        <v>#REF!</v>
      </c>
      <c r="BS22" s="709"/>
      <c r="BT22" s="709"/>
      <c r="BU22" s="710"/>
      <c r="BV22" s="711"/>
      <c r="BW22" s="711"/>
      <c r="BX22" s="711"/>
      <c r="BY22" s="711"/>
      <c r="BZ22" s="711"/>
      <c r="CA22" s="712"/>
      <c r="CB22" s="16"/>
      <c r="CC22" s="16"/>
    </row>
    <row r="23" spans="1:81" ht="39.6">
      <c r="A23" s="59" t="str">
        <f t="shared" si="13"/>
        <v>S</v>
      </c>
      <c r="B23" s="59">
        <f t="shared" si="14"/>
        <v>0</v>
      </c>
      <c r="C23" s="59">
        <f t="shared" ca="1" si="2"/>
        <v>3</v>
      </c>
      <c r="D23" s="59">
        <f t="shared" ca="1" si="3"/>
        <v>1</v>
      </c>
      <c r="E23" s="59">
        <f t="shared" ca="1" si="4"/>
        <v>0</v>
      </c>
      <c r="F23" s="59">
        <f t="shared" ca="1" si="5"/>
        <v>0</v>
      </c>
      <c r="G23" s="59">
        <f t="shared" ca="1" si="6"/>
        <v>4</v>
      </c>
      <c r="H23" s="59">
        <f t="shared" ca="1" si="7"/>
        <v>0</v>
      </c>
      <c r="I23" s="59">
        <f t="shared" ca="1" si="8"/>
        <v>0</v>
      </c>
      <c r="J23" s="59">
        <f t="shared" si="9"/>
        <v>2</v>
      </c>
      <c r="K23" s="127" t="s">
        <v>4</v>
      </c>
      <c r="L23" s="165" t="s">
        <v>62</v>
      </c>
      <c r="M23" s="129" t="s">
        <v>63</v>
      </c>
      <c r="N23" s="130" t="s">
        <v>43</v>
      </c>
      <c r="O23" s="131">
        <v>15.000404312668463</v>
      </c>
      <c r="P23" s="132">
        <v>74.2</v>
      </c>
      <c r="Q23" s="133">
        <f t="shared" si="15"/>
        <v>0</v>
      </c>
      <c r="R23" s="1">
        <f t="shared" si="21"/>
        <v>1113.03</v>
      </c>
      <c r="S23" s="2">
        <f t="shared" ca="1" si="10"/>
        <v>0</v>
      </c>
      <c r="T23" s="3">
        <f t="shared" si="24"/>
        <v>15</v>
      </c>
      <c r="U23" s="4">
        <f t="shared" ca="1" si="22"/>
        <v>15</v>
      </c>
      <c r="V23" s="5"/>
      <c r="W23" s="6">
        <f t="shared" si="25"/>
        <v>1113.03</v>
      </c>
      <c r="X23" s="7">
        <f t="shared" si="23"/>
        <v>1113.03</v>
      </c>
      <c r="Y23" s="134"/>
      <c r="Z23" s="135">
        <v>15</v>
      </c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7"/>
      <c r="AL23" s="135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7"/>
      <c r="AX23" s="16"/>
      <c r="AY23" s="138">
        <v>0</v>
      </c>
      <c r="AZ23" s="8">
        <f t="shared" si="16"/>
        <v>0</v>
      </c>
      <c r="BA23" s="139">
        <v>0</v>
      </c>
      <c r="BB23" s="9" t="e">
        <f t="shared" si="11"/>
        <v>#REF!</v>
      </c>
      <c r="BC23" s="10" t="e">
        <f t="shared" si="17"/>
        <v>#REF!</v>
      </c>
      <c r="BD23" s="11" t="e">
        <f t="shared" si="12"/>
        <v>#REF!</v>
      </c>
      <c r="BF23" s="701" t="e">
        <f t="shared" si="18"/>
        <v>#REF!</v>
      </c>
      <c r="BG23" s="702"/>
      <c r="BH23" s="12" t="e">
        <f t="shared" si="19"/>
        <v>#REF!</v>
      </c>
      <c r="BI23" s="703" t="e">
        <f t="shared" si="20"/>
        <v>#REF!</v>
      </c>
      <c r="BJ23" s="704"/>
      <c r="BK23" s="705" t="e">
        <f>IF(BR23&gt;0,CHOOSE(MATCH(RegimeExecucao,{"Unitário","Global"},0),IF($A23="S",BR23/BN23,""),(BR23/BN23)*100),"")</f>
        <v>#REF!</v>
      </c>
      <c r="BL23" s="706"/>
      <c r="BM23" s="707"/>
      <c r="BN23" s="708" t="e">
        <f>IF(BR23&gt;0,CHOOSE(MATCH(RegimeExecucao,{"Unitário","Global"},0),IF($A23="S",ROUND(P23,arredunit),""),ROUND(R23,arredtot)),"")</f>
        <v>#REF!</v>
      </c>
      <c r="BO23" s="709"/>
      <c r="BP23" s="709"/>
      <c r="BQ23" s="710"/>
      <c r="BR23" s="708" t="e">
        <f t="shared" si="1"/>
        <v>#REF!</v>
      </c>
      <c r="BS23" s="709"/>
      <c r="BT23" s="709"/>
      <c r="BU23" s="710"/>
      <c r="BV23" s="711"/>
      <c r="BW23" s="711"/>
      <c r="BX23" s="711"/>
      <c r="BY23" s="711"/>
      <c r="BZ23" s="711"/>
      <c r="CA23" s="712"/>
      <c r="CB23" s="16"/>
      <c r="CC23" s="16"/>
    </row>
    <row r="24" spans="1:81" ht="26.4">
      <c r="A24" s="59" t="str">
        <f t="shared" si="13"/>
        <v>S</v>
      </c>
      <c r="B24" s="59">
        <f t="shared" si="14"/>
        <v>0</v>
      </c>
      <c r="C24" s="59">
        <f t="shared" ca="1" si="2"/>
        <v>3</v>
      </c>
      <c r="D24" s="59">
        <f t="shared" ca="1" si="3"/>
        <v>1</v>
      </c>
      <c r="E24" s="59">
        <f t="shared" ca="1" si="4"/>
        <v>0</v>
      </c>
      <c r="F24" s="59">
        <f t="shared" ca="1" si="5"/>
        <v>0</v>
      </c>
      <c r="G24" s="59">
        <f t="shared" ca="1" si="6"/>
        <v>5</v>
      </c>
      <c r="H24" s="59">
        <f t="shared" ca="1" si="7"/>
        <v>0</v>
      </c>
      <c r="I24" s="59">
        <f t="shared" ca="1" si="8"/>
        <v>0</v>
      </c>
      <c r="J24" s="59">
        <f t="shared" si="9"/>
        <v>2</v>
      </c>
      <c r="K24" s="127" t="s">
        <v>4</v>
      </c>
      <c r="L24" s="165" t="s">
        <v>64</v>
      </c>
      <c r="M24" s="129" t="s">
        <v>65</v>
      </c>
      <c r="N24" s="130" t="s">
        <v>66</v>
      </c>
      <c r="O24" s="131">
        <v>100</v>
      </c>
      <c r="P24" s="132">
        <v>8.5698000000000008</v>
      </c>
      <c r="Q24" s="133">
        <f t="shared" si="15"/>
        <v>0</v>
      </c>
      <c r="R24" s="1">
        <f t="shared" si="21"/>
        <v>856.98</v>
      </c>
      <c r="S24" s="2">
        <f t="shared" ca="1" si="10"/>
        <v>0</v>
      </c>
      <c r="T24" s="3">
        <f t="shared" si="24"/>
        <v>100</v>
      </c>
      <c r="U24" s="4">
        <f t="shared" ca="1" si="22"/>
        <v>100</v>
      </c>
      <c r="V24" s="5"/>
      <c r="W24" s="6">
        <f t="shared" si="25"/>
        <v>856.98</v>
      </c>
      <c r="X24" s="7">
        <f t="shared" si="23"/>
        <v>856.98</v>
      </c>
      <c r="Y24" s="134"/>
      <c r="Z24" s="135">
        <v>100</v>
      </c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7"/>
      <c r="AL24" s="135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7"/>
      <c r="AX24" s="16"/>
      <c r="AY24" s="138">
        <v>0</v>
      </c>
      <c r="AZ24" s="8">
        <f t="shared" si="16"/>
        <v>0</v>
      </c>
      <c r="BA24" s="139">
        <v>0</v>
      </c>
      <c r="BB24" s="9" t="e">
        <f t="shared" si="11"/>
        <v>#REF!</v>
      </c>
      <c r="BC24" s="10" t="e">
        <f t="shared" si="17"/>
        <v>#REF!</v>
      </c>
      <c r="BD24" s="11" t="e">
        <f t="shared" si="12"/>
        <v>#REF!</v>
      </c>
      <c r="BF24" s="701" t="e">
        <f t="shared" si="18"/>
        <v>#REF!</v>
      </c>
      <c r="BG24" s="702"/>
      <c r="BH24" s="12" t="e">
        <f t="shared" si="19"/>
        <v>#REF!</v>
      </c>
      <c r="BI24" s="703" t="e">
        <f t="shared" si="20"/>
        <v>#REF!</v>
      </c>
      <c r="BJ24" s="704"/>
      <c r="BK24" s="705" t="e">
        <f>IF(BR24&gt;0,CHOOSE(MATCH(RegimeExecucao,{"Unitário","Global"},0),IF($A24="S",BR24/BN24,""),(BR24/BN24)*100),"")</f>
        <v>#REF!</v>
      </c>
      <c r="BL24" s="706"/>
      <c r="BM24" s="707"/>
      <c r="BN24" s="708" t="e">
        <f>IF(BR24&gt;0,CHOOSE(MATCH(RegimeExecucao,{"Unitário","Global"},0),IF($A24="S",ROUND(P24,arredunit),""),ROUND(R24,arredtot)),"")</f>
        <v>#REF!</v>
      </c>
      <c r="BO24" s="709"/>
      <c r="BP24" s="709"/>
      <c r="BQ24" s="710"/>
      <c r="BR24" s="708" t="e">
        <f t="shared" si="1"/>
        <v>#REF!</v>
      </c>
      <c r="BS24" s="709"/>
      <c r="BT24" s="709"/>
      <c r="BU24" s="710"/>
      <c r="BV24" s="711"/>
      <c r="BW24" s="711"/>
      <c r="BX24" s="711"/>
      <c r="BY24" s="711"/>
      <c r="BZ24" s="711"/>
      <c r="CA24" s="712"/>
      <c r="CB24" s="16"/>
      <c r="CC24" s="16"/>
    </row>
    <row r="25" spans="1:81" ht="26.4">
      <c r="A25" s="59" t="str">
        <f t="shared" si="13"/>
        <v>S</v>
      </c>
      <c r="B25" s="59">
        <f t="shared" si="14"/>
        <v>0</v>
      </c>
      <c r="C25" s="59">
        <f t="shared" ca="1" si="2"/>
        <v>3</v>
      </c>
      <c r="D25" s="59">
        <f t="shared" ca="1" si="3"/>
        <v>1</v>
      </c>
      <c r="E25" s="59">
        <f t="shared" ca="1" si="4"/>
        <v>0</v>
      </c>
      <c r="F25" s="59">
        <f t="shared" ca="1" si="5"/>
        <v>0</v>
      </c>
      <c r="G25" s="59">
        <f t="shared" ca="1" si="6"/>
        <v>6</v>
      </c>
      <c r="H25" s="59">
        <f t="shared" ca="1" si="7"/>
        <v>0</v>
      </c>
      <c r="I25" s="59">
        <f t="shared" ca="1" si="8"/>
        <v>0</v>
      </c>
      <c r="J25" s="59">
        <f t="shared" si="9"/>
        <v>2</v>
      </c>
      <c r="K25" s="127" t="s">
        <v>4</v>
      </c>
      <c r="L25" s="165" t="s">
        <v>67</v>
      </c>
      <c r="M25" s="129" t="s">
        <v>68</v>
      </c>
      <c r="N25" s="130" t="s">
        <v>66</v>
      </c>
      <c r="O25" s="131">
        <v>26</v>
      </c>
      <c r="P25" s="132">
        <v>13.549615384615386</v>
      </c>
      <c r="Q25" s="133">
        <f t="shared" si="15"/>
        <v>0</v>
      </c>
      <c r="R25" s="1">
        <f t="shared" si="21"/>
        <v>352.29</v>
      </c>
      <c r="S25" s="2">
        <f t="shared" ca="1" si="10"/>
        <v>0</v>
      </c>
      <c r="T25" s="3">
        <f t="shared" si="24"/>
        <v>26</v>
      </c>
      <c r="U25" s="4">
        <f t="shared" ca="1" si="22"/>
        <v>26</v>
      </c>
      <c r="V25" s="5"/>
      <c r="W25" s="6">
        <f t="shared" si="25"/>
        <v>352.29</v>
      </c>
      <c r="X25" s="7">
        <f t="shared" si="23"/>
        <v>352.29</v>
      </c>
      <c r="Y25" s="134"/>
      <c r="Z25" s="135">
        <v>26</v>
      </c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7"/>
      <c r="AL25" s="135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7"/>
      <c r="AX25" s="16"/>
      <c r="AY25" s="138">
        <v>0</v>
      </c>
      <c r="AZ25" s="8">
        <f t="shared" si="16"/>
        <v>0</v>
      </c>
      <c r="BA25" s="139">
        <v>0</v>
      </c>
      <c r="BB25" s="9" t="e">
        <f t="shared" si="11"/>
        <v>#REF!</v>
      </c>
      <c r="BC25" s="10" t="e">
        <f t="shared" si="17"/>
        <v>#REF!</v>
      </c>
      <c r="BD25" s="11" t="e">
        <f t="shared" si="12"/>
        <v>#REF!</v>
      </c>
      <c r="BF25" s="701" t="e">
        <f t="shared" si="18"/>
        <v>#REF!</v>
      </c>
      <c r="BG25" s="702"/>
      <c r="BH25" s="12" t="e">
        <f t="shared" si="19"/>
        <v>#REF!</v>
      </c>
      <c r="BI25" s="703" t="e">
        <f t="shared" si="20"/>
        <v>#REF!</v>
      </c>
      <c r="BJ25" s="704"/>
      <c r="BK25" s="705" t="e">
        <f>IF(BR25&gt;0,CHOOSE(MATCH(RegimeExecucao,{"Unitário","Global"},0),IF($A25="S",BR25/BN25,""),(BR25/BN25)*100),"")</f>
        <v>#REF!</v>
      </c>
      <c r="BL25" s="706"/>
      <c r="BM25" s="707"/>
      <c r="BN25" s="708" t="e">
        <f>IF(BR25&gt;0,CHOOSE(MATCH(RegimeExecucao,{"Unitário","Global"},0),IF($A25="S",ROUND(P25,arredunit),""),ROUND(R25,arredtot)),"")</f>
        <v>#REF!</v>
      </c>
      <c r="BO25" s="709"/>
      <c r="BP25" s="709"/>
      <c r="BQ25" s="710"/>
      <c r="BR25" s="708" t="e">
        <f t="shared" si="1"/>
        <v>#REF!</v>
      </c>
      <c r="BS25" s="709"/>
      <c r="BT25" s="709"/>
      <c r="BU25" s="710"/>
      <c r="BV25" s="711"/>
      <c r="BW25" s="711"/>
      <c r="BX25" s="711"/>
      <c r="BY25" s="711"/>
      <c r="BZ25" s="711"/>
      <c r="CA25" s="712"/>
      <c r="CB25" s="16"/>
      <c r="CC25" s="16"/>
    </row>
    <row r="26" spans="1:81" ht="39.6">
      <c r="A26" s="59" t="str">
        <f t="shared" si="13"/>
        <v>S</v>
      </c>
      <c r="B26" s="59">
        <f t="shared" si="14"/>
        <v>0</v>
      </c>
      <c r="C26" s="59">
        <f t="shared" ca="1" si="2"/>
        <v>3</v>
      </c>
      <c r="D26" s="59">
        <f t="shared" ca="1" si="3"/>
        <v>1</v>
      </c>
      <c r="E26" s="59">
        <f t="shared" ca="1" si="4"/>
        <v>0</v>
      </c>
      <c r="F26" s="59">
        <f t="shared" ca="1" si="5"/>
        <v>0</v>
      </c>
      <c r="G26" s="59">
        <f t="shared" ca="1" si="6"/>
        <v>7</v>
      </c>
      <c r="H26" s="59">
        <f t="shared" ca="1" si="7"/>
        <v>0</v>
      </c>
      <c r="I26" s="59">
        <f t="shared" ca="1" si="8"/>
        <v>0</v>
      </c>
      <c r="J26" s="59">
        <f t="shared" si="9"/>
        <v>2</v>
      </c>
      <c r="K26" s="127" t="s">
        <v>4</v>
      </c>
      <c r="L26" s="165" t="s">
        <v>69</v>
      </c>
      <c r="M26" s="129" t="s">
        <v>70</v>
      </c>
      <c r="N26" s="130" t="s">
        <v>49</v>
      </c>
      <c r="O26" s="131">
        <v>1.5000262977962446</v>
      </c>
      <c r="P26" s="132">
        <v>380.26</v>
      </c>
      <c r="Q26" s="133">
        <f t="shared" si="15"/>
        <v>0</v>
      </c>
      <c r="R26" s="1">
        <f t="shared" si="21"/>
        <v>570.4</v>
      </c>
      <c r="S26" s="2">
        <f t="shared" ca="1" si="10"/>
        <v>0</v>
      </c>
      <c r="T26" s="3">
        <f t="shared" si="24"/>
        <v>1.5</v>
      </c>
      <c r="U26" s="4">
        <f t="shared" ca="1" si="22"/>
        <v>1.5</v>
      </c>
      <c r="V26" s="5"/>
      <c r="W26" s="6">
        <f t="shared" si="25"/>
        <v>570.4</v>
      </c>
      <c r="X26" s="7">
        <f t="shared" si="23"/>
        <v>570.4</v>
      </c>
      <c r="Y26" s="134"/>
      <c r="Z26" s="135">
        <v>1.5</v>
      </c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7"/>
      <c r="AL26" s="135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7"/>
      <c r="AX26" s="16"/>
      <c r="AY26" s="138">
        <v>0</v>
      </c>
      <c r="AZ26" s="8">
        <f t="shared" si="16"/>
        <v>0</v>
      </c>
      <c r="BA26" s="139">
        <v>0</v>
      </c>
      <c r="BB26" s="9" t="e">
        <f t="shared" si="11"/>
        <v>#REF!</v>
      </c>
      <c r="BC26" s="10" t="e">
        <f t="shared" si="17"/>
        <v>#REF!</v>
      </c>
      <c r="BD26" s="11" t="e">
        <f t="shared" si="12"/>
        <v>#REF!</v>
      </c>
      <c r="BF26" s="701" t="e">
        <f t="shared" si="18"/>
        <v>#REF!</v>
      </c>
      <c r="BG26" s="702"/>
      <c r="BH26" s="12" t="e">
        <f t="shared" si="19"/>
        <v>#REF!</v>
      </c>
      <c r="BI26" s="703" t="e">
        <f t="shared" si="20"/>
        <v>#REF!</v>
      </c>
      <c r="BJ26" s="704"/>
      <c r="BK26" s="705" t="e">
        <f>IF(BR26&gt;0,CHOOSE(MATCH(RegimeExecucao,{"Unitário","Global"},0),IF($A26="S",BR26/BN26,""),(BR26/BN26)*100),"")</f>
        <v>#REF!</v>
      </c>
      <c r="BL26" s="706"/>
      <c r="BM26" s="707"/>
      <c r="BN26" s="708" t="e">
        <f>IF(BR26&gt;0,CHOOSE(MATCH(RegimeExecucao,{"Unitário","Global"},0),IF($A26="S",ROUND(P26,arredunit),""),ROUND(R26,arredtot)),"")</f>
        <v>#REF!</v>
      </c>
      <c r="BO26" s="709"/>
      <c r="BP26" s="709"/>
      <c r="BQ26" s="710"/>
      <c r="BR26" s="708" t="e">
        <f t="shared" si="1"/>
        <v>#REF!</v>
      </c>
      <c r="BS26" s="709"/>
      <c r="BT26" s="709"/>
      <c r="BU26" s="710"/>
      <c r="BV26" s="711"/>
      <c r="BW26" s="711"/>
      <c r="BX26" s="711"/>
      <c r="BY26" s="711"/>
      <c r="BZ26" s="711"/>
      <c r="CA26" s="712"/>
      <c r="CB26" s="16"/>
      <c r="CC26" s="16"/>
    </row>
    <row r="27" spans="1:81" ht="26.4">
      <c r="A27" s="59" t="str">
        <f t="shared" si="13"/>
        <v>S</v>
      </c>
      <c r="B27" s="59">
        <f t="shared" si="14"/>
        <v>0</v>
      </c>
      <c r="C27" s="59">
        <f t="shared" ca="1" si="2"/>
        <v>3</v>
      </c>
      <c r="D27" s="59">
        <f t="shared" ca="1" si="3"/>
        <v>1</v>
      </c>
      <c r="E27" s="59">
        <f t="shared" ca="1" si="4"/>
        <v>0</v>
      </c>
      <c r="F27" s="59">
        <f t="shared" ca="1" si="5"/>
        <v>0</v>
      </c>
      <c r="G27" s="59">
        <f t="shared" ca="1" si="6"/>
        <v>8</v>
      </c>
      <c r="H27" s="59">
        <f t="shared" ca="1" si="7"/>
        <v>0</v>
      </c>
      <c r="I27" s="59">
        <f t="shared" ca="1" si="8"/>
        <v>0</v>
      </c>
      <c r="J27" s="59">
        <f t="shared" si="9"/>
        <v>2</v>
      </c>
      <c r="K27" s="127" t="s">
        <v>4</v>
      </c>
      <c r="L27" s="165" t="s">
        <v>71</v>
      </c>
      <c r="M27" s="129" t="s">
        <v>72</v>
      </c>
      <c r="N27" s="130" t="s">
        <v>49</v>
      </c>
      <c r="O27" s="131">
        <v>1.5</v>
      </c>
      <c r="P27" s="132">
        <v>31.88</v>
      </c>
      <c r="Q27" s="133">
        <f t="shared" si="15"/>
        <v>0</v>
      </c>
      <c r="R27" s="1">
        <f t="shared" si="21"/>
        <v>47.82</v>
      </c>
      <c r="S27" s="2">
        <f t="shared" ca="1" si="10"/>
        <v>0</v>
      </c>
      <c r="T27" s="3">
        <f t="shared" si="24"/>
        <v>1.5</v>
      </c>
      <c r="U27" s="4">
        <f t="shared" ca="1" si="22"/>
        <v>1.5</v>
      </c>
      <c r="V27" s="5"/>
      <c r="W27" s="6">
        <f t="shared" si="25"/>
        <v>47.82</v>
      </c>
      <c r="X27" s="7">
        <f t="shared" si="23"/>
        <v>47.82</v>
      </c>
      <c r="Y27" s="134"/>
      <c r="Z27" s="135">
        <v>1.5</v>
      </c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7"/>
      <c r="AL27" s="135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7"/>
      <c r="AX27" s="16"/>
      <c r="AY27" s="138">
        <v>0</v>
      </c>
      <c r="AZ27" s="8">
        <f t="shared" si="16"/>
        <v>0</v>
      </c>
      <c r="BA27" s="139">
        <v>0</v>
      </c>
      <c r="BB27" s="9" t="e">
        <f t="shared" si="11"/>
        <v>#REF!</v>
      </c>
      <c r="BC27" s="10" t="e">
        <f t="shared" si="17"/>
        <v>#REF!</v>
      </c>
      <c r="BD27" s="11" t="e">
        <f t="shared" si="12"/>
        <v>#REF!</v>
      </c>
      <c r="BF27" s="701" t="e">
        <f t="shared" si="18"/>
        <v>#REF!</v>
      </c>
      <c r="BG27" s="702"/>
      <c r="BH27" s="12" t="e">
        <f t="shared" si="19"/>
        <v>#REF!</v>
      </c>
      <c r="BI27" s="703" t="e">
        <f t="shared" si="20"/>
        <v>#REF!</v>
      </c>
      <c r="BJ27" s="704"/>
      <c r="BK27" s="705" t="e">
        <f>IF(BR27&gt;0,CHOOSE(MATCH(RegimeExecucao,{"Unitário","Global"},0),IF($A27="S",BR27/BN27,""),(BR27/BN27)*100),"")</f>
        <v>#REF!</v>
      </c>
      <c r="BL27" s="706"/>
      <c r="BM27" s="707"/>
      <c r="BN27" s="708" t="e">
        <f>IF(BR27&gt;0,CHOOSE(MATCH(RegimeExecucao,{"Unitário","Global"},0),IF($A27="S",ROUND(P27,arredunit),""),ROUND(R27,arredtot)),"")</f>
        <v>#REF!</v>
      </c>
      <c r="BO27" s="709"/>
      <c r="BP27" s="709"/>
      <c r="BQ27" s="710"/>
      <c r="BR27" s="708" t="e">
        <f t="shared" si="1"/>
        <v>#REF!</v>
      </c>
      <c r="BS27" s="709"/>
      <c r="BT27" s="709"/>
      <c r="BU27" s="710"/>
      <c r="BV27" s="711"/>
      <c r="BW27" s="711"/>
      <c r="BX27" s="711"/>
      <c r="BY27" s="711"/>
      <c r="BZ27" s="711"/>
      <c r="CA27" s="712"/>
      <c r="CB27" s="16"/>
      <c r="CC27" s="16"/>
    </row>
    <row r="28" spans="1:81">
      <c r="A28" s="59">
        <f t="shared" si="13"/>
        <v>2</v>
      </c>
      <c r="B28" s="59">
        <f t="shared" ca="1" si="14"/>
        <v>3</v>
      </c>
      <c r="C28" s="59">
        <f t="shared" ca="1" si="2"/>
        <v>3</v>
      </c>
      <c r="D28" s="59">
        <f t="shared" ca="1" si="3"/>
        <v>2</v>
      </c>
      <c r="E28" s="59">
        <f t="shared" ca="1" si="4"/>
        <v>0</v>
      </c>
      <c r="F28" s="59">
        <f t="shared" ca="1" si="5"/>
        <v>0</v>
      </c>
      <c r="G28" s="59">
        <f t="shared" ca="1" si="6"/>
        <v>0</v>
      </c>
      <c r="H28" s="59">
        <f t="shared" ca="1" si="7"/>
        <v>3</v>
      </c>
      <c r="I28" s="59" t="e">
        <f t="shared" ca="1" si="8"/>
        <v>#N/A</v>
      </c>
      <c r="J28" s="59">
        <f t="shared" si="9"/>
        <v>1</v>
      </c>
      <c r="K28" s="127" t="str">
        <f>CHOOSE(1+LOG(1+2*($J28=3)+4*($J28=2)+8*($J28=1)+16*(AND($L28&lt;&gt;"",$L28&lt;&gt;0,$J28=0))+32*OR($N28&lt;&gt;"",RegimeExecucao="Global",AND($L28="",$M28="",$N28="")),2),"","Nível 4","Nível 3","Nível 2","Meta","Serviço")</f>
        <v>Nível 2</v>
      </c>
      <c r="L28" s="165" t="s">
        <v>73</v>
      </c>
      <c r="M28" s="129" t="s">
        <v>74</v>
      </c>
      <c r="N28" s="130"/>
      <c r="O28" s="131"/>
      <c r="P28" s="132"/>
      <c r="Q28" s="133">
        <f t="shared" si="15"/>
        <v>945.0619999999999</v>
      </c>
      <c r="R28" s="1">
        <f>SUM(R29:R30)</f>
        <v>945.0619999999999</v>
      </c>
      <c r="S28" s="2">
        <f t="shared" ca="1" si="10"/>
        <v>0</v>
      </c>
      <c r="T28" s="3">
        <f t="shared" si="24"/>
        <v>0</v>
      </c>
      <c r="U28" s="4">
        <f t="shared" ca="1" si="22"/>
        <v>0</v>
      </c>
      <c r="V28" s="1">
        <f>SUM(V29:V30)</f>
        <v>0</v>
      </c>
      <c r="W28" s="1">
        <f>SUM(W29:W30)</f>
        <v>945.0619999999999</v>
      </c>
      <c r="X28" s="7">
        <f t="shared" si="23"/>
        <v>945.0619999999999</v>
      </c>
      <c r="Y28" s="134"/>
      <c r="Z28" s="135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7"/>
      <c r="AL28" s="135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7"/>
      <c r="AX28" s="16"/>
      <c r="AY28" s="138">
        <v>0</v>
      </c>
      <c r="AZ28" s="8">
        <f t="shared" si="16"/>
        <v>0</v>
      </c>
      <c r="BA28" s="139">
        <v>0</v>
      </c>
      <c r="BB28" s="9" t="e">
        <f t="shared" ca="1" si="11"/>
        <v>#REF!</v>
      </c>
      <c r="BC28" s="10" t="e">
        <f t="shared" ca="1" si="17"/>
        <v>#REF!</v>
      </c>
      <c r="BD28" s="11" t="e">
        <f t="shared" ca="1" si="12"/>
        <v>#REF!</v>
      </c>
      <c r="BF28" s="701" t="e">
        <f t="shared" ca="1" si="18"/>
        <v>#REF!</v>
      </c>
      <c r="BG28" s="702"/>
      <c r="BH28" s="12" t="e">
        <f t="shared" ca="1" si="19"/>
        <v>#REF!</v>
      </c>
      <c r="BI28" s="703" t="e">
        <f t="shared" ca="1" si="20"/>
        <v>#REF!</v>
      </c>
      <c r="BJ28" s="704"/>
      <c r="BK28" s="705" t="e">
        <f ca="1">IF(BR28&gt;0,CHOOSE(MATCH(RegimeExecucao,{"Unitário","Global"},0),IF($A28="S",BR28/BN28,""),(BR28/BN28)*100),"")</f>
        <v>#REF!</v>
      </c>
      <c r="BL28" s="706"/>
      <c r="BM28" s="707"/>
      <c r="BN28" s="708" t="e">
        <f ca="1">IF(BR28&gt;0,CHOOSE(MATCH(RegimeExecucao,{"Unitário","Global"},0),IF($A28="S",ROUND(P28,arredunit),""),ROUND(R28,arredtot)),"")</f>
        <v>#REF!</v>
      </c>
      <c r="BO28" s="709"/>
      <c r="BP28" s="709"/>
      <c r="BQ28" s="710"/>
      <c r="BR28" s="708" t="e">
        <f t="shared" ca="1" si="1"/>
        <v>#REF!</v>
      </c>
      <c r="BS28" s="709"/>
      <c r="BT28" s="709"/>
      <c r="BU28" s="710"/>
      <c r="BV28" s="711"/>
      <c r="BW28" s="711"/>
      <c r="BX28" s="711"/>
      <c r="BY28" s="711"/>
      <c r="BZ28" s="711"/>
      <c r="CA28" s="712"/>
      <c r="CB28" s="16"/>
      <c r="CC28" s="16"/>
    </row>
    <row r="29" spans="1:81" ht="39.6">
      <c r="A29" s="59" t="str">
        <f t="shared" si="13"/>
        <v>S</v>
      </c>
      <c r="B29" s="59">
        <f t="shared" si="14"/>
        <v>0</v>
      </c>
      <c r="C29" s="59">
        <f t="shared" ca="1" si="2"/>
        <v>3</v>
      </c>
      <c r="D29" s="59">
        <f t="shared" ca="1" si="3"/>
        <v>2</v>
      </c>
      <c r="E29" s="59">
        <f t="shared" ca="1" si="4"/>
        <v>0</v>
      </c>
      <c r="F29" s="59">
        <f t="shared" ca="1" si="5"/>
        <v>0</v>
      </c>
      <c r="G29" s="59">
        <f t="shared" ca="1" si="6"/>
        <v>1</v>
      </c>
      <c r="H29" s="59">
        <f t="shared" ca="1" si="7"/>
        <v>0</v>
      </c>
      <c r="I29" s="59">
        <f t="shared" ca="1" si="8"/>
        <v>0</v>
      </c>
      <c r="J29" s="59">
        <f t="shared" si="9"/>
        <v>2</v>
      </c>
      <c r="K29" s="127" t="s">
        <v>4</v>
      </c>
      <c r="L29" s="165" t="s">
        <v>75</v>
      </c>
      <c r="M29" s="129" t="s">
        <v>76</v>
      </c>
      <c r="N29" s="130" t="s">
        <v>49</v>
      </c>
      <c r="O29" s="131">
        <v>0.9</v>
      </c>
      <c r="P29" s="132">
        <v>643.17999999999995</v>
      </c>
      <c r="Q29" s="133">
        <f t="shared" si="15"/>
        <v>0</v>
      </c>
      <c r="R29" s="1">
        <f t="shared" si="21"/>
        <v>578.86199999999997</v>
      </c>
      <c r="S29" s="2">
        <f t="shared" ca="1" si="10"/>
        <v>0</v>
      </c>
      <c r="T29" s="3">
        <f t="shared" si="24"/>
        <v>0.9</v>
      </c>
      <c r="U29" s="4">
        <f t="shared" ca="1" si="22"/>
        <v>0.9</v>
      </c>
      <c r="V29" s="5"/>
      <c r="W29" s="6">
        <f t="shared" si="25"/>
        <v>578.86199999999997</v>
      </c>
      <c r="X29" s="7">
        <f t="shared" si="23"/>
        <v>578.86199999999997</v>
      </c>
      <c r="Y29" s="134"/>
      <c r="Z29" s="135">
        <v>0.9</v>
      </c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7"/>
      <c r="AL29" s="135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7"/>
      <c r="AX29" s="16"/>
      <c r="AY29" s="138">
        <v>0</v>
      </c>
      <c r="AZ29" s="8">
        <f t="shared" si="16"/>
        <v>0</v>
      </c>
      <c r="BA29" s="139">
        <v>0</v>
      </c>
      <c r="BB29" s="9" t="e">
        <f t="shared" si="11"/>
        <v>#REF!</v>
      </c>
      <c r="BC29" s="10" t="e">
        <f t="shared" si="17"/>
        <v>#REF!</v>
      </c>
      <c r="BD29" s="11" t="e">
        <f t="shared" si="12"/>
        <v>#REF!</v>
      </c>
      <c r="BF29" s="701" t="e">
        <f t="shared" si="18"/>
        <v>#REF!</v>
      </c>
      <c r="BG29" s="702"/>
      <c r="BH29" s="12" t="e">
        <f t="shared" si="19"/>
        <v>#REF!</v>
      </c>
      <c r="BI29" s="703" t="e">
        <f t="shared" si="20"/>
        <v>#REF!</v>
      </c>
      <c r="BJ29" s="704"/>
      <c r="BK29" s="705" t="e">
        <f>IF(BR29&gt;0,CHOOSE(MATCH(RegimeExecucao,{"Unitário","Global"},0),IF($A29="S",BR29/BN29,""),(BR29/BN29)*100),"")</f>
        <v>#REF!</v>
      </c>
      <c r="BL29" s="706"/>
      <c r="BM29" s="707"/>
      <c r="BN29" s="708" t="e">
        <f>IF(BR29&gt;0,CHOOSE(MATCH(RegimeExecucao,{"Unitário","Global"},0),IF($A29="S",ROUND(P29,arredunit),""),ROUND(R29,arredtot)),"")</f>
        <v>#REF!</v>
      </c>
      <c r="BO29" s="709"/>
      <c r="BP29" s="709"/>
      <c r="BQ29" s="710"/>
      <c r="BR29" s="708" t="e">
        <f t="shared" si="1"/>
        <v>#REF!</v>
      </c>
      <c r="BS29" s="709"/>
      <c r="BT29" s="709"/>
      <c r="BU29" s="710"/>
      <c r="BV29" s="711"/>
      <c r="BW29" s="711"/>
      <c r="BX29" s="711"/>
      <c r="BY29" s="711"/>
      <c r="BZ29" s="711"/>
      <c r="CA29" s="712"/>
      <c r="CB29" s="16"/>
      <c r="CC29" s="16"/>
    </row>
    <row r="30" spans="1:81" ht="26.4">
      <c r="A30" s="59" t="str">
        <f t="shared" si="13"/>
        <v>S</v>
      </c>
      <c r="B30" s="59">
        <f t="shared" si="14"/>
        <v>0</v>
      </c>
      <c r="C30" s="59">
        <f t="shared" ca="1" si="2"/>
        <v>3</v>
      </c>
      <c r="D30" s="59">
        <f t="shared" ca="1" si="3"/>
        <v>2</v>
      </c>
      <c r="E30" s="59">
        <f t="shared" ca="1" si="4"/>
        <v>0</v>
      </c>
      <c r="F30" s="59">
        <f t="shared" ca="1" si="5"/>
        <v>0</v>
      </c>
      <c r="G30" s="59">
        <f t="shared" ca="1" si="6"/>
        <v>2</v>
      </c>
      <c r="H30" s="59">
        <f t="shared" ca="1" si="7"/>
        <v>0</v>
      </c>
      <c r="I30" s="59">
        <f t="shared" ca="1" si="8"/>
        <v>0</v>
      </c>
      <c r="J30" s="59">
        <f t="shared" si="9"/>
        <v>2</v>
      </c>
      <c r="K30" s="127" t="s">
        <v>4</v>
      </c>
      <c r="L30" s="165" t="s">
        <v>77</v>
      </c>
      <c r="M30" s="129" t="s">
        <v>78</v>
      </c>
      <c r="N30" s="130" t="s">
        <v>43</v>
      </c>
      <c r="O30" s="131">
        <v>32</v>
      </c>
      <c r="P30" s="132">
        <v>11.44375</v>
      </c>
      <c r="Q30" s="133">
        <f t="shared" si="15"/>
        <v>0</v>
      </c>
      <c r="R30" s="1">
        <f t="shared" si="21"/>
        <v>366.2</v>
      </c>
      <c r="S30" s="2">
        <f t="shared" ca="1" si="10"/>
        <v>0</v>
      </c>
      <c r="T30" s="3">
        <f t="shared" si="24"/>
        <v>32</v>
      </c>
      <c r="U30" s="4">
        <f t="shared" ca="1" si="22"/>
        <v>32</v>
      </c>
      <c r="V30" s="5"/>
      <c r="W30" s="6">
        <f t="shared" si="25"/>
        <v>366.2</v>
      </c>
      <c r="X30" s="7">
        <f t="shared" si="23"/>
        <v>366.2</v>
      </c>
      <c r="Y30" s="134"/>
      <c r="Z30" s="135">
        <v>32</v>
      </c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7"/>
      <c r="AL30" s="135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7"/>
      <c r="AX30" s="16"/>
      <c r="AY30" s="138">
        <v>0</v>
      </c>
      <c r="AZ30" s="8">
        <f t="shared" si="16"/>
        <v>0</v>
      </c>
      <c r="BA30" s="139">
        <v>0</v>
      </c>
      <c r="BB30" s="9" t="e">
        <f t="shared" si="11"/>
        <v>#REF!</v>
      </c>
      <c r="BC30" s="10" t="e">
        <f t="shared" si="17"/>
        <v>#REF!</v>
      </c>
      <c r="BD30" s="11" t="e">
        <f t="shared" si="12"/>
        <v>#REF!</v>
      </c>
      <c r="BF30" s="701" t="e">
        <f t="shared" si="18"/>
        <v>#REF!</v>
      </c>
      <c r="BG30" s="702"/>
      <c r="BH30" s="12" t="e">
        <f t="shared" si="19"/>
        <v>#REF!</v>
      </c>
      <c r="BI30" s="703" t="e">
        <f t="shared" si="20"/>
        <v>#REF!</v>
      </c>
      <c r="BJ30" s="704"/>
      <c r="BK30" s="705" t="e">
        <f>IF(BR30&gt;0,CHOOSE(MATCH(RegimeExecucao,{"Unitário","Global"},0),IF($A30="S",BR30/BN30,""),(BR30/BN30)*100),"")</f>
        <v>#REF!</v>
      </c>
      <c r="BL30" s="706"/>
      <c r="BM30" s="707"/>
      <c r="BN30" s="708" t="e">
        <f>IF(BR30&gt;0,CHOOSE(MATCH(RegimeExecucao,{"Unitário","Global"},0),IF($A30="S",ROUND(P30,arredunit),""),ROUND(R30,arredtot)),"")</f>
        <v>#REF!</v>
      </c>
      <c r="BO30" s="709"/>
      <c r="BP30" s="709"/>
      <c r="BQ30" s="710"/>
      <c r="BR30" s="708" t="e">
        <f t="shared" si="1"/>
        <v>#REF!</v>
      </c>
      <c r="BS30" s="709"/>
      <c r="BT30" s="709"/>
      <c r="BU30" s="710"/>
      <c r="BV30" s="711"/>
      <c r="BW30" s="711"/>
      <c r="BX30" s="711"/>
      <c r="BY30" s="711"/>
      <c r="BZ30" s="711"/>
      <c r="CA30" s="712"/>
      <c r="CB30" s="16"/>
      <c r="CC30" s="16"/>
    </row>
    <row r="31" spans="1:81">
      <c r="A31" s="59">
        <f t="shared" si="13"/>
        <v>1</v>
      </c>
      <c r="B31" s="59">
        <f t="shared" ca="1" si="14"/>
        <v>2</v>
      </c>
      <c r="C31" s="59">
        <f t="shared" ca="1" si="2"/>
        <v>4</v>
      </c>
      <c r="D31" s="59">
        <f t="shared" ca="1" si="3"/>
        <v>0</v>
      </c>
      <c r="E31" s="59">
        <f t="shared" ca="1" si="4"/>
        <v>0</v>
      </c>
      <c r="F31" s="59">
        <f t="shared" ca="1" si="5"/>
        <v>0</v>
      </c>
      <c r="G31" s="59">
        <f t="shared" ca="1" si="6"/>
        <v>0</v>
      </c>
      <c r="H31" s="59">
        <f t="shared" ca="1" si="7"/>
        <v>58</v>
      </c>
      <c r="I31" s="59">
        <f t="shared" ca="1" si="8"/>
        <v>2</v>
      </c>
      <c r="J31" s="59">
        <f t="shared" si="9"/>
        <v>0</v>
      </c>
      <c r="K31" s="127" t="str">
        <f>CHOOSE(1+LOG(1+2*($J31=3)+4*($J31=2)+8*($J31=1)+16*(AND($L31&lt;&gt;"",$L31&lt;&gt;0,$J31=0))+32*OR($N31&lt;&gt;"",RegimeExecucao="Global",AND($L31="",$M31="",$N31="")),2),"","Nível 4","Nível 3","Nível 2","Meta","Serviço")</f>
        <v>Meta</v>
      </c>
      <c r="L31" s="128">
        <v>4</v>
      </c>
      <c r="M31" s="129" t="s">
        <v>79</v>
      </c>
      <c r="N31" s="130"/>
      <c r="O31" s="131"/>
      <c r="P31" s="132"/>
      <c r="Q31" s="133">
        <f t="shared" si="15"/>
        <v>6601.99</v>
      </c>
      <c r="R31" s="1">
        <f>R32</f>
        <v>6601.99</v>
      </c>
      <c r="S31" s="2">
        <f t="shared" ca="1" si="10"/>
        <v>0</v>
      </c>
      <c r="T31" s="3">
        <f t="shared" si="24"/>
        <v>0</v>
      </c>
      <c r="U31" s="4">
        <f t="shared" ca="1" si="22"/>
        <v>0</v>
      </c>
      <c r="V31" s="1">
        <f>V32</f>
        <v>0</v>
      </c>
      <c r="W31" s="1">
        <f>W32</f>
        <v>0</v>
      </c>
      <c r="X31" s="7">
        <f t="shared" si="23"/>
        <v>0</v>
      </c>
      <c r="Y31" s="134"/>
      <c r="Z31" s="135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7"/>
      <c r="AL31" s="135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7"/>
      <c r="AX31" s="16"/>
      <c r="AY31" s="138">
        <v>0</v>
      </c>
      <c r="AZ31" s="8">
        <f t="shared" si="16"/>
        <v>0</v>
      </c>
      <c r="BA31" s="139">
        <v>0</v>
      </c>
      <c r="BB31" s="9" t="e">
        <f t="shared" ca="1" si="11"/>
        <v>#REF!</v>
      </c>
      <c r="BC31" s="10" t="e">
        <f t="shared" ca="1" si="17"/>
        <v>#REF!</v>
      </c>
      <c r="BD31" s="11" t="e">
        <f t="shared" ca="1" si="12"/>
        <v>#REF!</v>
      </c>
      <c r="BF31" s="701" t="e">
        <f t="shared" ca="1" si="18"/>
        <v>#REF!</v>
      </c>
      <c r="BG31" s="702"/>
      <c r="BH31" s="12" t="e">
        <f t="shared" ca="1" si="19"/>
        <v>#REF!</v>
      </c>
      <c r="BI31" s="703" t="e">
        <f t="shared" ca="1" si="20"/>
        <v>#REF!</v>
      </c>
      <c r="BJ31" s="704"/>
      <c r="BK31" s="705" t="e">
        <f ca="1">IF(BR31&gt;0,CHOOSE(MATCH(RegimeExecucao,{"Unitário","Global"},0),IF($A31="S",BR31/BN31,""),(BR31/BN31)*100),"")</f>
        <v>#REF!</v>
      </c>
      <c r="BL31" s="706"/>
      <c r="BM31" s="707"/>
      <c r="BN31" s="708" t="e">
        <f ca="1">IF(BR31&gt;0,CHOOSE(MATCH(RegimeExecucao,{"Unitário","Global"},0),IF($A31="S",ROUND(P31,arredunit),""),ROUND(R31,arredtot)),"")</f>
        <v>#REF!</v>
      </c>
      <c r="BO31" s="709"/>
      <c r="BP31" s="709"/>
      <c r="BQ31" s="710"/>
      <c r="BR31" s="708" t="e">
        <f t="shared" ca="1" si="1"/>
        <v>#REF!</v>
      </c>
      <c r="BS31" s="709"/>
      <c r="BT31" s="709"/>
      <c r="BU31" s="710"/>
      <c r="BV31" s="711"/>
      <c r="BW31" s="711"/>
      <c r="BX31" s="711"/>
      <c r="BY31" s="711"/>
      <c r="BZ31" s="711"/>
      <c r="CA31" s="712"/>
      <c r="CB31" s="16"/>
      <c r="CC31" s="16"/>
    </row>
    <row r="32" spans="1:81" ht="66">
      <c r="A32" s="59" t="str">
        <f t="shared" si="13"/>
        <v>S</v>
      </c>
      <c r="B32" s="59">
        <f t="shared" si="14"/>
        <v>0</v>
      </c>
      <c r="C32" s="59">
        <f t="shared" ca="1" si="2"/>
        <v>4</v>
      </c>
      <c r="D32" s="59">
        <f t="shared" ca="1" si="3"/>
        <v>0</v>
      </c>
      <c r="E32" s="59">
        <f t="shared" ca="1" si="4"/>
        <v>0</v>
      </c>
      <c r="F32" s="59">
        <f t="shared" ca="1" si="5"/>
        <v>0</v>
      </c>
      <c r="G32" s="59">
        <f t="shared" ca="1" si="6"/>
        <v>1</v>
      </c>
      <c r="H32" s="59">
        <f t="shared" ca="1" si="7"/>
        <v>0</v>
      </c>
      <c r="I32" s="59">
        <f t="shared" ca="1" si="8"/>
        <v>0</v>
      </c>
      <c r="J32" s="59">
        <f t="shared" si="9"/>
        <v>1</v>
      </c>
      <c r="K32" s="127" t="s">
        <v>4</v>
      </c>
      <c r="L32" s="165" t="s">
        <v>80</v>
      </c>
      <c r="M32" s="129" t="s">
        <v>81</v>
      </c>
      <c r="N32" s="130" t="s">
        <v>43</v>
      </c>
      <c r="O32" s="131">
        <v>108</v>
      </c>
      <c r="P32" s="132">
        <v>61.129537037037039</v>
      </c>
      <c r="Q32" s="133">
        <f t="shared" si="15"/>
        <v>0</v>
      </c>
      <c r="R32" s="1">
        <f t="shared" si="21"/>
        <v>6601.99</v>
      </c>
      <c r="S32" s="2">
        <f t="shared" ca="1" si="10"/>
        <v>0</v>
      </c>
      <c r="T32" s="3">
        <f t="shared" si="24"/>
        <v>0</v>
      </c>
      <c r="U32" s="4">
        <f t="shared" ca="1" si="22"/>
        <v>0</v>
      </c>
      <c r="V32" s="5"/>
      <c r="W32" s="6">
        <f t="shared" si="25"/>
        <v>0</v>
      </c>
      <c r="X32" s="7">
        <f t="shared" si="23"/>
        <v>0</v>
      </c>
      <c r="Y32" s="134"/>
      <c r="Z32" s="135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7"/>
      <c r="AL32" s="135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7"/>
      <c r="AX32" s="16"/>
      <c r="AY32" s="138">
        <v>0</v>
      </c>
      <c r="AZ32" s="8">
        <f t="shared" si="16"/>
        <v>0</v>
      </c>
      <c r="BA32" s="139">
        <v>0</v>
      </c>
      <c r="BB32" s="9" t="e">
        <f t="shared" si="11"/>
        <v>#REF!</v>
      </c>
      <c r="BC32" s="10" t="e">
        <f t="shared" si="17"/>
        <v>#REF!</v>
      </c>
      <c r="BD32" s="11" t="e">
        <f t="shared" si="12"/>
        <v>#REF!</v>
      </c>
      <c r="BF32" s="701" t="e">
        <f t="shared" si="18"/>
        <v>#REF!</v>
      </c>
      <c r="BG32" s="702"/>
      <c r="BH32" s="12" t="e">
        <f t="shared" si="19"/>
        <v>#REF!</v>
      </c>
      <c r="BI32" s="703" t="e">
        <f t="shared" si="20"/>
        <v>#REF!</v>
      </c>
      <c r="BJ32" s="704"/>
      <c r="BK32" s="705" t="e">
        <f>IF(BR32&gt;0,CHOOSE(MATCH(RegimeExecucao,{"Unitário","Global"},0),IF($A32="S",BR32/BN32,""),(BR32/BN32)*100),"")</f>
        <v>#REF!</v>
      </c>
      <c r="BL32" s="706"/>
      <c r="BM32" s="707"/>
      <c r="BN32" s="708" t="e">
        <f>IF(BR32&gt;0,CHOOSE(MATCH(RegimeExecucao,{"Unitário","Global"},0),IF($A32="S",ROUND(P32,arredunit),""),ROUND(R32,arredtot)),"")</f>
        <v>#REF!</v>
      </c>
      <c r="BO32" s="709"/>
      <c r="BP32" s="709"/>
      <c r="BQ32" s="710"/>
      <c r="BR32" s="708" t="e">
        <f t="shared" si="1"/>
        <v>#REF!</v>
      </c>
      <c r="BS32" s="709"/>
      <c r="BT32" s="709"/>
      <c r="BU32" s="710"/>
      <c r="BV32" s="711"/>
      <c r="BW32" s="711"/>
      <c r="BX32" s="711"/>
      <c r="BY32" s="711"/>
      <c r="BZ32" s="711"/>
      <c r="CA32" s="712"/>
      <c r="CB32" s="16"/>
      <c r="CC32" s="16"/>
    </row>
    <row r="33" spans="1:81">
      <c r="A33" s="59">
        <f t="shared" si="13"/>
        <v>1</v>
      </c>
      <c r="B33" s="59">
        <f t="shared" ca="1" si="14"/>
        <v>6</v>
      </c>
      <c r="C33" s="59">
        <f t="shared" ca="1" si="2"/>
        <v>5</v>
      </c>
      <c r="D33" s="59">
        <f t="shared" ca="1" si="3"/>
        <v>0</v>
      </c>
      <c r="E33" s="59">
        <f t="shared" ca="1" si="4"/>
        <v>0</v>
      </c>
      <c r="F33" s="59">
        <f t="shared" ca="1" si="5"/>
        <v>0</v>
      </c>
      <c r="G33" s="59">
        <f t="shared" ca="1" si="6"/>
        <v>0</v>
      </c>
      <c r="H33" s="59">
        <f t="shared" ca="1" si="7"/>
        <v>56</v>
      </c>
      <c r="I33" s="59">
        <f t="shared" ca="1" si="8"/>
        <v>6</v>
      </c>
      <c r="J33" s="59">
        <f t="shared" si="9"/>
        <v>0</v>
      </c>
      <c r="K33" s="127" t="str">
        <f>CHOOSE(1+LOG(1+2*($J33=3)+4*($J33=2)+8*($J33=1)+16*(AND($L33&lt;&gt;"",$L33&lt;&gt;0,$J33=0))+32*OR($N33&lt;&gt;"",RegimeExecucao="Global",AND($L33="",$M33="",$N33="")),2),"","Nível 4","Nível 3","Nível 2","Meta","Serviço")</f>
        <v>Meta</v>
      </c>
      <c r="L33" s="128">
        <v>5</v>
      </c>
      <c r="M33" s="129" t="s">
        <v>82</v>
      </c>
      <c r="N33" s="130"/>
      <c r="O33" s="131"/>
      <c r="P33" s="132"/>
      <c r="Q33" s="133">
        <f t="shared" si="15"/>
        <v>13363.421</v>
      </c>
      <c r="R33" s="1">
        <f>SUM(R34:R38)</f>
        <v>13363.421</v>
      </c>
      <c r="S33" s="2">
        <f t="shared" ca="1" si="10"/>
        <v>0</v>
      </c>
      <c r="T33" s="3">
        <f t="shared" si="24"/>
        <v>0</v>
      </c>
      <c r="U33" s="4">
        <f t="shared" ca="1" si="22"/>
        <v>0</v>
      </c>
      <c r="V33" s="1">
        <f>SUM(V34:V38)</f>
        <v>0</v>
      </c>
      <c r="W33" s="1">
        <f>SUM(W34:W38)</f>
        <v>0</v>
      </c>
      <c r="X33" s="7">
        <f t="shared" si="23"/>
        <v>0</v>
      </c>
      <c r="Y33" s="134"/>
      <c r="Z33" s="135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7"/>
      <c r="AL33" s="135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7"/>
      <c r="AX33" s="16"/>
      <c r="AY33" s="138">
        <v>0</v>
      </c>
      <c r="AZ33" s="8">
        <f t="shared" si="16"/>
        <v>0</v>
      </c>
      <c r="BA33" s="139">
        <v>0</v>
      </c>
      <c r="BB33" s="9" t="e">
        <f t="shared" ca="1" si="11"/>
        <v>#REF!</v>
      </c>
      <c r="BC33" s="10" t="e">
        <f t="shared" ca="1" si="17"/>
        <v>#REF!</v>
      </c>
      <c r="BD33" s="11" t="e">
        <f t="shared" ca="1" si="12"/>
        <v>#REF!</v>
      </c>
      <c r="BF33" s="701" t="e">
        <f t="shared" ca="1" si="18"/>
        <v>#REF!</v>
      </c>
      <c r="BG33" s="702"/>
      <c r="BH33" s="12" t="e">
        <f t="shared" ca="1" si="19"/>
        <v>#REF!</v>
      </c>
      <c r="BI33" s="703" t="e">
        <f t="shared" ca="1" si="20"/>
        <v>#REF!</v>
      </c>
      <c r="BJ33" s="704"/>
      <c r="BK33" s="705" t="e">
        <f ca="1">IF(BR33&gt;0,CHOOSE(MATCH(RegimeExecucao,{"Unitário","Global"},0),IF($A33="S",BR33/BN33,""),(BR33/BN33)*100),"")</f>
        <v>#REF!</v>
      </c>
      <c r="BL33" s="706"/>
      <c r="BM33" s="707"/>
      <c r="BN33" s="708" t="e">
        <f ca="1">IF(BR33&gt;0,CHOOSE(MATCH(RegimeExecucao,{"Unitário","Global"},0),IF($A33="S",ROUND(P33,arredunit),""),ROUND(R33,arredtot)),"")</f>
        <v>#REF!</v>
      </c>
      <c r="BO33" s="709"/>
      <c r="BP33" s="709"/>
      <c r="BQ33" s="710"/>
      <c r="BR33" s="708" t="e">
        <f t="shared" ca="1" si="1"/>
        <v>#REF!</v>
      </c>
      <c r="BS33" s="709"/>
      <c r="BT33" s="709"/>
      <c r="BU33" s="710"/>
      <c r="BV33" s="711"/>
      <c r="BW33" s="711"/>
      <c r="BX33" s="711"/>
      <c r="BY33" s="711"/>
      <c r="BZ33" s="711"/>
      <c r="CA33" s="712"/>
      <c r="CB33" s="16"/>
      <c r="CC33" s="16"/>
    </row>
    <row r="34" spans="1:81" ht="26.4">
      <c r="A34" s="59" t="str">
        <f t="shared" si="13"/>
        <v>S</v>
      </c>
      <c r="B34" s="59">
        <f t="shared" si="14"/>
        <v>0</v>
      </c>
      <c r="C34" s="59">
        <f t="shared" ca="1" si="2"/>
        <v>5</v>
      </c>
      <c r="D34" s="59">
        <f t="shared" ca="1" si="3"/>
        <v>0</v>
      </c>
      <c r="E34" s="59">
        <f t="shared" ca="1" si="4"/>
        <v>0</v>
      </c>
      <c r="F34" s="59">
        <f t="shared" ca="1" si="5"/>
        <v>0</v>
      </c>
      <c r="G34" s="59">
        <f t="shared" ca="1" si="6"/>
        <v>1</v>
      </c>
      <c r="H34" s="59">
        <f t="shared" ca="1" si="7"/>
        <v>0</v>
      </c>
      <c r="I34" s="59">
        <f t="shared" ca="1" si="8"/>
        <v>0</v>
      </c>
      <c r="J34" s="59">
        <f t="shared" si="9"/>
        <v>1</v>
      </c>
      <c r="K34" s="127" t="s">
        <v>4</v>
      </c>
      <c r="L34" s="165" t="s">
        <v>83</v>
      </c>
      <c r="M34" s="129" t="s">
        <v>84</v>
      </c>
      <c r="N34" s="130" t="s">
        <v>43</v>
      </c>
      <c r="O34" s="131">
        <v>10</v>
      </c>
      <c r="P34" s="132">
        <v>335.32</v>
      </c>
      <c r="Q34" s="133">
        <f t="shared" si="15"/>
        <v>0</v>
      </c>
      <c r="R34" s="1">
        <f t="shared" si="21"/>
        <v>3353.2</v>
      </c>
      <c r="S34" s="2">
        <f t="shared" ca="1" si="10"/>
        <v>0</v>
      </c>
      <c r="T34" s="3">
        <f t="shared" si="24"/>
        <v>0</v>
      </c>
      <c r="U34" s="4">
        <f t="shared" ca="1" si="22"/>
        <v>0</v>
      </c>
      <c r="V34" s="5"/>
      <c r="W34" s="6">
        <f t="shared" si="25"/>
        <v>0</v>
      </c>
      <c r="X34" s="7">
        <f t="shared" si="23"/>
        <v>0</v>
      </c>
      <c r="Y34" s="134"/>
      <c r="Z34" s="135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7"/>
      <c r="AL34" s="135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7"/>
      <c r="AX34" s="16"/>
      <c r="AY34" s="138">
        <v>0</v>
      </c>
      <c r="AZ34" s="8">
        <f t="shared" si="16"/>
        <v>0</v>
      </c>
      <c r="BA34" s="139">
        <v>0</v>
      </c>
      <c r="BB34" s="9" t="e">
        <f t="shared" si="11"/>
        <v>#REF!</v>
      </c>
      <c r="BC34" s="10" t="e">
        <f t="shared" si="17"/>
        <v>#REF!</v>
      </c>
      <c r="BD34" s="11" t="e">
        <f t="shared" si="12"/>
        <v>#REF!</v>
      </c>
      <c r="BF34" s="701" t="e">
        <f t="shared" si="18"/>
        <v>#REF!</v>
      </c>
      <c r="BG34" s="702"/>
      <c r="BH34" s="12" t="e">
        <f t="shared" si="19"/>
        <v>#REF!</v>
      </c>
      <c r="BI34" s="703" t="e">
        <f t="shared" si="20"/>
        <v>#REF!</v>
      </c>
      <c r="BJ34" s="704"/>
      <c r="BK34" s="705" t="e">
        <f>IF(BR34&gt;0,CHOOSE(MATCH(RegimeExecucao,{"Unitário","Global"},0),IF($A34="S",BR34/BN34,""),(BR34/BN34)*100),"")</f>
        <v>#REF!</v>
      </c>
      <c r="BL34" s="706"/>
      <c r="BM34" s="707"/>
      <c r="BN34" s="708" t="e">
        <f>IF(BR34&gt;0,CHOOSE(MATCH(RegimeExecucao,{"Unitário","Global"},0),IF($A34="S",ROUND(P34,arredunit),""),ROUND(R34,arredtot)),"")</f>
        <v>#REF!</v>
      </c>
      <c r="BO34" s="709"/>
      <c r="BP34" s="709"/>
      <c r="BQ34" s="710"/>
      <c r="BR34" s="708" t="e">
        <f t="shared" si="1"/>
        <v>#REF!</v>
      </c>
      <c r="BS34" s="709"/>
      <c r="BT34" s="709"/>
      <c r="BU34" s="710"/>
      <c r="BV34" s="711"/>
      <c r="BW34" s="711"/>
      <c r="BX34" s="711"/>
      <c r="BY34" s="711"/>
      <c r="BZ34" s="711"/>
      <c r="CA34" s="712"/>
      <c r="CB34" s="16"/>
      <c r="CC34" s="16"/>
    </row>
    <row r="35" spans="1:81" ht="39.6">
      <c r="A35" s="59" t="str">
        <f t="shared" si="13"/>
        <v>S</v>
      </c>
      <c r="B35" s="59">
        <f t="shared" si="14"/>
        <v>0</v>
      </c>
      <c r="C35" s="59">
        <f t="shared" ca="1" si="2"/>
        <v>5</v>
      </c>
      <c r="D35" s="59">
        <f t="shared" ca="1" si="3"/>
        <v>0</v>
      </c>
      <c r="E35" s="59">
        <f t="shared" ca="1" si="4"/>
        <v>0</v>
      </c>
      <c r="F35" s="59">
        <f t="shared" ca="1" si="5"/>
        <v>0</v>
      </c>
      <c r="G35" s="59">
        <f t="shared" ca="1" si="6"/>
        <v>2</v>
      </c>
      <c r="H35" s="59">
        <f t="shared" ca="1" si="7"/>
        <v>0</v>
      </c>
      <c r="I35" s="59">
        <f t="shared" ca="1" si="8"/>
        <v>0</v>
      </c>
      <c r="J35" s="59">
        <f t="shared" si="9"/>
        <v>1</v>
      </c>
      <c r="K35" s="127" t="s">
        <v>4</v>
      </c>
      <c r="L35" s="165" t="s">
        <v>85</v>
      </c>
      <c r="M35" s="129" t="s">
        <v>86</v>
      </c>
      <c r="N35" s="130" t="s">
        <v>43</v>
      </c>
      <c r="O35" s="131">
        <v>5.9999862456931838</v>
      </c>
      <c r="P35" s="132">
        <v>1454.09</v>
      </c>
      <c r="Q35" s="133">
        <f t="shared" si="15"/>
        <v>0</v>
      </c>
      <c r="R35" s="1">
        <f t="shared" si="21"/>
        <v>8724.52</v>
      </c>
      <c r="S35" s="2">
        <f t="shared" ca="1" si="10"/>
        <v>0</v>
      </c>
      <c r="T35" s="3">
        <f t="shared" si="24"/>
        <v>0</v>
      </c>
      <c r="U35" s="4">
        <f t="shared" ca="1" si="22"/>
        <v>0</v>
      </c>
      <c r="V35" s="5"/>
      <c r="W35" s="6">
        <f t="shared" si="25"/>
        <v>0</v>
      </c>
      <c r="X35" s="7">
        <f t="shared" si="23"/>
        <v>0</v>
      </c>
      <c r="Y35" s="134"/>
      <c r="Z35" s="135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7"/>
      <c r="AL35" s="135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7"/>
      <c r="AX35" s="16"/>
      <c r="AY35" s="138">
        <v>0</v>
      </c>
      <c r="AZ35" s="8">
        <f t="shared" si="16"/>
        <v>0</v>
      </c>
      <c r="BA35" s="139">
        <v>0</v>
      </c>
      <c r="BB35" s="9" t="e">
        <f t="shared" si="11"/>
        <v>#REF!</v>
      </c>
      <c r="BC35" s="10" t="e">
        <f t="shared" si="17"/>
        <v>#REF!</v>
      </c>
      <c r="BD35" s="11" t="e">
        <f t="shared" si="12"/>
        <v>#REF!</v>
      </c>
      <c r="BF35" s="701" t="e">
        <f t="shared" si="18"/>
        <v>#REF!</v>
      </c>
      <c r="BG35" s="702"/>
      <c r="BH35" s="12" t="e">
        <f t="shared" si="19"/>
        <v>#REF!</v>
      </c>
      <c r="BI35" s="703" t="e">
        <f t="shared" si="20"/>
        <v>#REF!</v>
      </c>
      <c r="BJ35" s="704"/>
      <c r="BK35" s="705" t="e">
        <f>IF(BR35&gt;0,CHOOSE(MATCH(RegimeExecucao,{"Unitário","Global"},0),IF($A35="S",BR35/BN35,""),(BR35/BN35)*100),"")</f>
        <v>#REF!</v>
      </c>
      <c r="BL35" s="706"/>
      <c r="BM35" s="707"/>
      <c r="BN35" s="708" t="e">
        <f>IF(BR35&gt;0,CHOOSE(MATCH(RegimeExecucao,{"Unitário","Global"},0),IF($A35="S",ROUND(P35,arredunit),""),ROUND(R35,arredtot)),"")</f>
        <v>#REF!</v>
      </c>
      <c r="BO35" s="709"/>
      <c r="BP35" s="709"/>
      <c r="BQ35" s="710"/>
      <c r="BR35" s="708" t="e">
        <f t="shared" si="1"/>
        <v>#REF!</v>
      </c>
      <c r="BS35" s="709"/>
      <c r="BT35" s="709"/>
      <c r="BU35" s="710"/>
      <c r="BV35" s="711"/>
      <c r="BW35" s="711"/>
      <c r="BX35" s="711"/>
      <c r="BY35" s="711"/>
      <c r="BZ35" s="711"/>
      <c r="CA35" s="712"/>
      <c r="CB35" s="16"/>
      <c r="CC35" s="16"/>
    </row>
    <row r="36" spans="1:81">
      <c r="A36" s="59" t="str">
        <f t="shared" si="13"/>
        <v>S</v>
      </c>
      <c r="B36" s="59">
        <f t="shared" si="14"/>
        <v>0</v>
      </c>
      <c r="C36" s="59">
        <f t="shared" ca="1" si="2"/>
        <v>5</v>
      </c>
      <c r="D36" s="59">
        <f t="shared" ca="1" si="3"/>
        <v>0</v>
      </c>
      <c r="E36" s="59">
        <f t="shared" ca="1" si="4"/>
        <v>0</v>
      </c>
      <c r="F36" s="59">
        <f t="shared" ca="1" si="5"/>
        <v>0</v>
      </c>
      <c r="G36" s="59">
        <f t="shared" ca="1" si="6"/>
        <v>3</v>
      </c>
      <c r="H36" s="59">
        <f t="shared" ca="1" si="7"/>
        <v>0</v>
      </c>
      <c r="I36" s="59">
        <f t="shared" ca="1" si="8"/>
        <v>0</v>
      </c>
      <c r="J36" s="59">
        <f t="shared" si="9"/>
        <v>1</v>
      </c>
      <c r="K36" s="127" t="s">
        <v>4</v>
      </c>
      <c r="L36" s="165" t="s">
        <v>87</v>
      </c>
      <c r="M36" s="129" t="s">
        <v>88</v>
      </c>
      <c r="N36" s="130" t="s">
        <v>43</v>
      </c>
      <c r="O36" s="131">
        <v>15.998805732484076</v>
      </c>
      <c r="P36" s="132">
        <v>25.12</v>
      </c>
      <c r="Q36" s="133">
        <f t="shared" si="15"/>
        <v>0</v>
      </c>
      <c r="R36" s="1">
        <f t="shared" si="21"/>
        <v>401.89</v>
      </c>
      <c r="S36" s="2">
        <f t="shared" ca="1" si="10"/>
        <v>0</v>
      </c>
      <c r="T36" s="3">
        <f t="shared" si="24"/>
        <v>0</v>
      </c>
      <c r="U36" s="4">
        <f t="shared" ca="1" si="22"/>
        <v>0</v>
      </c>
      <c r="V36" s="5"/>
      <c r="W36" s="6">
        <f t="shared" si="25"/>
        <v>0</v>
      </c>
      <c r="X36" s="7">
        <f t="shared" si="23"/>
        <v>0</v>
      </c>
      <c r="Y36" s="134"/>
      <c r="Z36" s="135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7"/>
      <c r="AL36" s="135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7"/>
      <c r="AX36" s="16"/>
      <c r="AY36" s="138">
        <v>0</v>
      </c>
      <c r="AZ36" s="8">
        <f t="shared" si="16"/>
        <v>0</v>
      </c>
      <c r="BA36" s="139">
        <v>0</v>
      </c>
      <c r="BB36" s="9" t="e">
        <f t="shared" si="11"/>
        <v>#REF!</v>
      </c>
      <c r="BC36" s="10" t="e">
        <f t="shared" si="17"/>
        <v>#REF!</v>
      </c>
      <c r="BD36" s="11" t="e">
        <f t="shared" si="12"/>
        <v>#REF!</v>
      </c>
      <c r="BF36" s="701" t="e">
        <f t="shared" si="18"/>
        <v>#REF!</v>
      </c>
      <c r="BG36" s="702"/>
      <c r="BH36" s="12" t="e">
        <f t="shared" si="19"/>
        <v>#REF!</v>
      </c>
      <c r="BI36" s="703" t="e">
        <f t="shared" si="20"/>
        <v>#REF!</v>
      </c>
      <c r="BJ36" s="704"/>
      <c r="BK36" s="705" t="e">
        <f>IF(BR36&gt;0,CHOOSE(MATCH(RegimeExecucao,{"Unitário","Global"},0),IF($A36="S",BR36/BN36,""),(BR36/BN36)*100),"")</f>
        <v>#REF!</v>
      </c>
      <c r="BL36" s="706"/>
      <c r="BM36" s="707"/>
      <c r="BN36" s="708" t="e">
        <f>IF(BR36&gt;0,CHOOSE(MATCH(RegimeExecucao,{"Unitário","Global"},0),IF($A36="S",ROUND(P36,arredunit),""),ROUND(R36,arredtot)),"")</f>
        <v>#REF!</v>
      </c>
      <c r="BO36" s="709"/>
      <c r="BP36" s="709"/>
      <c r="BQ36" s="710"/>
      <c r="BR36" s="708" t="e">
        <f t="shared" si="1"/>
        <v>#REF!</v>
      </c>
      <c r="BS36" s="709"/>
      <c r="BT36" s="709"/>
      <c r="BU36" s="710"/>
      <c r="BV36" s="711"/>
      <c r="BW36" s="711"/>
      <c r="BX36" s="711"/>
      <c r="BY36" s="711"/>
      <c r="BZ36" s="711"/>
      <c r="CA36" s="712"/>
      <c r="CB36" s="16"/>
      <c r="CC36" s="16"/>
    </row>
    <row r="37" spans="1:81" ht="26.4">
      <c r="A37" s="59" t="str">
        <f t="shared" si="13"/>
        <v>S</v>
      </c>
      <c r="B37" s="59">
        <f t="shared" si="14"/>
        <v>0</v>
      </c>
      <c r="C37" s="59">
        <f t="shared" ca="1" si="2"/>
        <v>5</v>
      </c>
      <c r="D37" s="59">
        <f t="shared" ca="1" si="3"/>
        <v>0</v>
      </c>
      <c r="E37" s="59">
        <f t="shared" ca="1" si="4"/>
        <v>0</v>
      </c>
      <c r="F37" s="59">
        <f t="shared" ca="1" si="5"/>
        <v>0</v>
      </c>
      <c r="G37" s="59">
        <f t="shared" ca="1" si="6"/>
        <v>4</v>
      </c>
      <c r="H37" s="59">
        <f t="shared" ca="1" si="7"/>
        <v>0</v>
      </c>
      <c r="I37" s="59">
        <f t="shared" ca="1" si="8"/>
        <v>0</v>
      </c>
      <c r="J37" s="59">
        <f t="shared" si="9"/>
        <v>1</v>
      </c>
      <c r="K37" s="127" t="s">
        <v>4</v>
      </c>
      <c r="L37" s="165" t="s">
        <v>89</v>
      </c>
      <c r="M37" s="129" t="s">
        <v>90</v>
      </c>
      <c r="N37" s="130" t="s">
        <v>43</v>
      </c>
      <c r="O37" s="131">
        <v>2.1</v>
      </c>
      <c r="P37" s="132">
        <v>8.61</v>
      </c>
      <c r="Q37" s="133">
        <f t="shared" si="15"/>
        <v>0</v>
      </c>
      <c r="R37" s="1">
        <f t="shared" si="21"/>
        <v>18.081</v>
      </c>
      <c r="S37" s="2">
        <f t="shared" ca="1" si="10"/>
        <v>0</v>
      </c>
      <c r="T37" s="3">
        <f t="shared" si="24"/>
        <v>0</v>
      </c>
      <c r="U37" s="4">
        <f t="shared" ca="1" si="22"/>
        <v>0</v>
      </c>
      <c r="V37" s="5"/>
      <c r="W37" s="6">
        <f t="shared" si="25"/>
        <v>0</v>
      </c>
      <c r="X37" s="7">
        <f t="shared" si="23"/>
        <v>0</v>
      </c>
      <c r="Y37" s="134"/>
      <c r="Z37" s="135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7"/>
      <c r="AL37" s="135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7"/>
      <c r="AX37" s="16"/>
      <c r="AY37" s="138">
        <v>0</v>
      </c>
      <c r="AZ37" s="8">
        <f t="shared" si="16"/>
        <v>0</v>
      </c>
      <c r="BA37" s="139">
        <v>0</v>
      </c>
      <c r="BB37" s="9" t="e">
        <f t="shared" si="11"/>
        <v>#REF!</v>
      </c>
      <c r="BC37" s="10" t="e">
        <f t="shared" si="17"/>
        <v>#REF!</v>
      </c>
      <c r="BD37" s="11" t="e">
        <f t="shared" si="12"/>
        <v>#REF!</v>
      </c>
      <c r="BF37" s="701" t="e">
        <f t="shared" si="18"/>
        <v>#REF!</v>
      </c>
      <c r="BG37" s="702"/>
      <c r="BH37" s="12" t="e">
        <f t="shared" si="19"/>
        <v>#REF!</v>
      </c>
      <c r="BI37" s="703" t="e">
        <f t="shared" si="20"/>
        <v>#REF!</v>
      </c>
      <c r="BJ37" s="704"/>
      <c r="BK37" s="705" t="e">
        <f>IF(BR37&gt;0,CHOOSE(MATCH(RegimeExecucao,{"Unitário","Global"},0),IF($A37="S",BR37/BN37,""),(BR37/BN37)*100),"")</f>
        <v>#REF!</v>
      </c>
      <c r="BL37" s="706"/>
      <c r="BM37" s="707"/>
      <c r="BN37" s="708" t="e">
        <f>IF(BR37&gt;0,CHOOSE(MATCH(RegimeExecucao,{"Unitário","Global"},0),IF($A37="S",ROUND(P37,arredunit),""),ROUND(R37,arredtot)),"")</f>
        <v>#REF!</v>
      </c>
      <c r="BO37" s="709"/>
      <c r="BP37" s="709"/>
      <c r="BQ37" s="710"/>
      <c r="BR37" s="708" t="e">
        <f t="shared" si="1"/>
        <v>#REF!</v>
      </c>
      <c r="BS37" s="709"/>
      <c r="BT37" s="709"/>
      <c r="BU37" s="710"/>
      <c r="BV37" s="711"/>
      <c r="BW37" s="711"/>
      <c r="BX37" s="711"/>
      <c r="BY37" s="711"/>
      <c r="BZ37" s="711"/>
      <c r="CA37" s="712"/>
      <c r="CB37" s="16"/>
      <c r="CC37" s="16"/>
    </row>
    <row r="38" spans="1:81" ht="66">
      <c r="A38" s="59" t="str">
        <f t="shared" si="13"/>
        <v>S</v>
      </c>
      <c r="B38" s="59">
        <f t="shared" si="14"/>
        <v>0</v>
      </c>
      <c r="C38" s="59">
        <f t="shared" ca="1" si="2"/>
        <v>5</v>
      </c>
      <c r="D38" s="59">
        <f t="shared" ca="1" si="3"/>
        <v>0</v>
      </c>
      <c r="E38" s="59">
        <f t="shared" ca="1" si="4"/>
        <v>0</v>
      </c>
      <c r="F38" s="59">
        <f t="shared" ca="1" si="5"/>
        <v>0</v>
      </c>
      <c r="G38" s="59">
        <f t="shared" ca="1" si="6"/>
        <v>5</v>
      </c>
      <c r="H38" s="59">
        <f t="shared" ca="1" si="7"/>
        <v>0</v>
      </c>
      <c r="I38" s="59">
        <f t="shared" ca="1" si="8"/>
        <v>0</v>
      </c>
      <c r="J38" s="59">
        <f t="shared" si="9"/>
        <v>1</v>
      </c>
      <c r="K38" s="127" t="s">
        <v>4</v>
      </c>
      <c r="L38" s="165" t="s">
        <v>91</v>
      </c>
      <c r="M38" s="129" t="s">
        <v>92</v>
      </c>
      <c r="N38" s="130" t="s">
        <v>93</v>
      </c>
      <c r="O38" s="131">
        <v>1</v>
      </c>
      <c r="P38" s="132">
        <v>865.73</v>
      </c>
      <c r="Q38" s="133">
        <f t="shared" si="15"/>
        <v>0</v>
      </c>
      <c r="R38" s="1">
        <f t="shared" si="21"/>
        <v>865.73</v>
      </c>
      <c r="S38" s="2">
        <f t="shared" ca="1" si="10"/>
        <v>0</v>
      </c>
      <c r="T38" s="3">
        <f t="shared" si="24"/>
        <v>0</v>
      </c>
      <c r="U38" s="4">
        <f t="shared" ca="1" si="22"/>
        <v>0</v>
      </c>
      <c r="V38" s="5"/>
      <c r="W38" s="6">
        <f t="shared" si="25"/>
        <v>0</v>
      </c>
      <c r="X38" s="7">
        <f t="shared" si="23"/>
        <v>0</v>
      </c>
      <c r="Y38" s="134"/>
      <c r="Z38" s="135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7"/>
      <c r="AL38" s="135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7"/>
      <c r="AX38" s="16"/>
      <c r="AY38" s="138">
        <v>0</v>
      </c>
      <c r="AZ38" s="8">
        <f t="shared" si="16"/>
        <v>0</v>
      </c>
      <c r="BA38" s="139">
        <v>0</v>
      </c>
      <c r="BB38" s="9" t="e">
        <f t="shared" si="11"/>
        <v>#REF!</v>
      </c>
      <c r="BC38" s="10" t="e">
        <f t="shared" si="17"/>
        <v>#REF!</v>
      </c>
      <c r="BD38" s="11" t="e">
        <f t="shared" si="12"/>
        <v>#REF!</v>
      </c>
      <c r="BF38" s="701" t="e">
        <f t="shared" si="18"/>
        <v>#REF!</v>
      </c>
      <c r="BG38" s="702"/>
      <c r="BH38" s="12" t="e">
        <f t="shared" si="19"/>
        <v>#REF!</v>
      </c>
      <c r="BI38" s="703" t="e">
        <f t="shared" si="20"/>
        <v>#REF!</v>
      </c>
      <c r="BJ38" s="704"/>
      <c r="BK38" s="705" t="e">
        <f>IF(BR38&gt;0,CHOOSE(MATCH(RegimeExecucao,{"Unitário","Global"},0),IF($A38="S",BR38/BN38,""),(BR38/BN38)*100),"")</f>
        <v>#REF!</v>
      </c>
      <c r="BL38" s="706"/>
      <c r="BM38" s="707"/>
      <c r="BN38" s="708" t="e">
        <f>IF(BR38&gt;0,CHOOSE(MATCH(RegimeExecucao,{"Unitário","Global"},0),IF($A38="S",ROUND(P38,arredunit),""),ROUND(R38,arredtot)),"")</f>
        <v>#REF!</v>
      </c>
      <c r="BO38" s="709"/>
      <c r="BP38" s="709"/>
      <c r="BQ38" s="710"/>
      <c r="BR38" s="708" t="e">
        <f t="shared" si="1"/>
        <v>#REF!</v>
      </c>
      <c r="BS38" s="709"/>
      <c r="BT38" s="709"/>
      <c r="BU38" s="710"/>
      <c r="BV38" s="711"/>
      <c r="BW38" s="711"/>
      <c r="BX38" s="711"/>
      <c r="BY38" s="711"/>
      <c r="BZ38" s="711"/>
      <c r="CA38" s="712"/>
      <c r="CB38" s="16"/>
      <c r="CC38" s="16"/>
    </row>
    <row r="39" spans="1:81">
      <c r="A39" s="59">
        <f t="shared" si="13"/>
        <v>1</v>
      </c>
      <c r="B39" s="59">
        <f t="shared" ca="1" si="14"/>
        <v>4</v>
      </c>
      <c r="C39" s="59">
        <f t="shared" ca="1" si="2"/>
        <v>6</v>
      </c>
      <c r="D39" s="59">
        <f t="shared" ca="1" si="3"/>
        <v>0</v>
      </c>
      <c r="E39" s="59">
        <f t="shared" ca="1" si="4"/>
        <v>0</v>
      </c>
      <c r="F39" s="59">
        <f t="shared" ca="1" si="5"/>
        <v>0</v>
      </c>
      <c r="G39" s="59">
        <f t="shared" ca="1" si="6"/>
        <v>0</v>
      </c>
      <c r="H39" s="59">
        <f t="shared" ca="1" si="7"/>
        <v>50</v>
      </c>
      <c r="I39" s="59">
        <f t="shared" ca="1" si="8"/>
        <v>4</v>
      </c>
      <c r="J39" s="59">
        <f t="shared" si="9"/>
        <v>0</v>
      </c>
      <c r="K39" s="127" t="str">
        <f>CHOOSE(1+LOG(1+2*($J39=3)+4*($J39=2)+8*($J39=1)+16*(AND($L39&lt;&gt;"",$L39&lt;&gt;0,$J39=0))+32*OR($N39&lt;&gt;"",RegimeExecucao="Global",AND($L39="",$M39="",$N39="")),2),"","Nível 4","Nível 3","Nível 2","Meta","Serviço")</f>
        <v>Meta</v>
      </c>
      <c r="L39" s="128">
        <v>6</v>
      </c>
      <c r="M39" s="129" t="s">
        <v>94</v>
      </c>
      <c r="N39" s="130"/>
      <c r="O39" s="131"/>
      <c r="P39" s="132"/>
      <c r="Q39" s="133">
        <f t="shared" si="15"/>
        <v>1464.84</v>
      </c>
      <c r="R39" s="1">
        <f>SUM(R40:R42)</f>
        <v>1464.84</v>
      </c>
      <c r="S39" s="2">
        <f t="shared" ca="1" si="10"/>
        <v>0</v>
      </c>
      <c r="T39" s="3">
        <f t="shared" si="24"/>
        <v>0</v>
      </c>
      <c r="U39" s="4">
        <f t="shared" ca="1" si="22"/>
        <v>0</v>
      </c>
      <c r="V39" s="1">
        <f>SUM(V40:V42)</f>
        <v>0</v>
      </c>
      <c r="W39" s="1">
        <f>SUM(W40:W42)</f>
        <v>1464.84</v>
      </c>
      <c r="X39" s="7">
        <f t="shared" si="23"/>
        <v>1464.84</v>
      </c>
      <c r="Y39" s="134"/>
      <c r="Z39" s="135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7"/>
      <c r="AL39" s="135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7"/>
      <c r="AX39" s="16"/>
      <c r="AY39" s="138">
        <v>0</v>
      </c>
      <c r="AZ39" s="8">
        <f t="shared" si="16"/>
        <v>0</v>
      </c>
      <c r="BA39" s="139">
        <v>0</v>
      </c>
      <c r="BB39" s="9" t="e">
        <f t="shared" ca="1" si="11"/>
        <v>#REF!</v>
      </c>
      <c r="BC39" s="10" t="e">
        <f t="shared" ca="1" si="17"/>
        <v>#REF!</v>
      </c>
      <c r="BD39" s="11" t="e">
        <f t="shared" ca="1" si="12"/>
        <v>#REF!</v>
      </c>
      <c r="BF39" s="701" t="e">
        <f t="shared" ca="1" si="18"/>
        <v>#REF!</v>
      </c>
      <c r="BG39" s="702"/>
      <c r="BH39" s="12" t="e">
        <f t="shared" ca="1" si="19"/>
        <v>#REF!</v>
      </c>
      <c r="BI39" s="703" t="e">
        <f t="shared" ca="1" si="20"/>
        <v>#REF!</v>
      </c>
      <c r="BJ39" s="704"/>
      <c r="BK39" s="705" t="e">
        <f ca="1">IF(BR39&gt;0,CHOOSE(MATCH(RegimeExecucao,{"Unitário","Global"},0),IF($A39="S",BR39/BN39,""),(BR39/BN39)*100),"")</f>
        <v>#REF!</v>
      </c>
      <c r="BL39" s="706"/>
      <c r="BM39" s="707"/>
      <c r="BN39" s="708" t="e">
        <f ca="1">IF(BR39&gt;0,CHOOSE(MATCH(RegimeExecucao,{"Unitário","Global"},0),IF($A39="S",ROUND(P39,arredunit),""),ROUND(R39,arredtot)),"")</f>
        <v>#REF!</v>
      </c>
      <c r="BO39" s="709"/>
      <c r="BP39" s="709"/>
      <c r="BQ39" s="710"/>
      <c r="BR39" s="708" t="e">
        <f t="shared" ca="1" si="1"/>
        <v>#REF!</v>
      </c>
      <c r="BS39" s="709"/>
      <c r="BT39" s="709"/>
      <c r="BU39" s="710"/>
      <c r="BV39" s="711"/>
      <c r="BW39" s="711"/>
      <c r="BX39" s="711"/>
      <c r="BY39" s="711"/>
      <c r="BZ39" s="711"/>
      <c r="CA39" s="712"/>
      <c r="CB39" s="16"/>
      <c r="CC39" s="16"/>
    </row>
    <row r="40" spans="1:81">
      <c r="A40" s="59" t="str">
        <f t="shared" si="13"/>
        <v>S</v>
      </c>
      <c r="B40" s="59">
        <f t="shared" si="14"/>
        <v>0</v>
      </c>
      <c r="C40" s="59">
        <f t="shared" ca="1" si="2"/>
        <v>6</v>
      </c>
      <c r="D40" s="59">
        <f t="shared" ca="1" si="3"/>
        <v>0</v>
      </c>
      <c r="E40" s="59">
        <f t="shared" ca="1" si="4"/>
        <v>0</v>
      </c>
      <c r="F40" s="59">
        <f t="shared" ca="1" si="5"/>
        <v>0</v>
      </c>
      <c r="G40" s="59">
        <f t="shared" ca="1" si="6"/>
        <v>1</v>
      </c>
      <c r="H40" s="59">
        <f t="shared" ca="1" si="7"/>
        <v>0</v>
      </c>
      <c r="I40" s="59">
        <f t="shared" ca="1" si="8"/>
        <v>0</v>
      </c>
      <c r="J40" s="59">
        <f t="shared" si="9"/>
        <v>1</v>
      </c>
      <c r="K40" s="127" t="s">
        <v>4</v>
      </c>
      <c r="L40" s="165" t="s">
        <v>95</v>
      </c>
      <c r="M40" s="129" t="s">
        <v>96</v>
      </c>
      <c r="N40" s="130" t="s">
        <v>43</v>
      </c>
      <c r="O40" s="131">
        <v>9.3027888446215155</v>
      </c>
      <c r="P40" s="132">
        <v>10.039999999999999</v>
      </c>
      <c r="Q40" s="133">
        <f t="shared" si="15"/>
        <v>0</v>
      </c>
      <c r="R40" s="1">
        <f t="shared" si="21"/>
        <v>93.4</v>
      </c>
      <c r="S40" s="2">
        <f t="shared" ca="1" si="10"/>
        <v>0</v>
      </c>
      <c r="T40" s="3">
        <f t="shared" si="24"/>
        <v>9.3000000000000007</v>
      </c>
      <c r="U40" s="4">
        <f t="shared" ca="1" si="22"/>
        <v>9.3000000000000007</v>
      </c>
      <c r="V40" s="5"/>
      <c r="W40" s="6">
        <f t="shared" si="25"/>
        <v>93.4</v>
      </c>
      <c r="X40" s="7">
        <f t="shared" si="23"/>
        <v>93.4</v>
      </c>
      <c r="Y40" s="134"/>
      <c r="Z40" s="135">
        <v>9.3000000000000007</v>
      </c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7"/>
      <c r="AL40" s="135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7"/>
      <c r="AX40" s="16"/>
      <c r="AY40" s="138">
        <v>0</v>
      </c>
      <c r="AZ40" s="8">
        <f t="shared" si="16"/>
        <v>0</v>
      </c>
      <c r="BA40" s="139">
        <v>0</v>
      </c>
      <c r="BB40" s="9" t="e">
        <f t="shared" si="11"/>
        <v>#REF!</v>
      </c>
      <c r="BC40" s="10" t="e">
        <f t="shared" si="17"/>
        <v>#REF!</v>
      </c>
      <c r="BD40" s="11" t="e">
        <f t="shared" si="12"/>
        <v>#REF!</v>
      </c>
      <c r="BF40" s="701" t="e">
        <f t="shared" si="18"/>
        <v>#REF!</v>
      </c>
      <c r="BG40" s="702"/>
      <c r="BH40" s="12" t="e">
        <f t="shared" si="19"/>
        <v>#REF!</v>
      </c>
      <c r="BI40" s="703" t="e">
        <f t="shared" si="20"/>
        <v>#REF!</v>
      </c>
      <c r="BJ40" s="704"/>
      <c r="BK40" s="705" t="e">
        <f>IF(BR40&gt;0,CHOOSE(MATCH(RegimeExecucao,{"Unitário","Global"},0),IF($A40="S",BR40/BN40,""),(BR40/BN40)*100),"")</f>
        <v>#REF!</v>
      </c>
      <c r="BL40" s="706"/>
      <c r="BM40" s="707"/>
      <c r="BN40" s="708" t="e">
        <f>IF(BR40&gt;0,CHOOSE(MATCH(RegimeExecucao,{"Unitário","Global"},0),IF($A40="S",ROUND(P40,arredunit),""),ROUND(R40,arredtot)),"")</f>
        <v>#REF!</v>
      </c>
      <c r="BO40" s="709"/>
      <c r="BP40" s="709"/>
      <c r="BQ40" s="710"/>
      <c r="BR40" s="708" t="e">
        <f t="shared" si="1"/>
        <v>#REF!</v>
      </c>
      <c r="BS40" s="709"/>
      <c r="BT40" s="709"/>
      <c r="BU40" s="710"/>
      <c r="BV40" s="711"/>
      <c r="BW40" s="711"/>
      <c r="BX40" s="711"/>
      <c r="BY40" s="711"/>
      <c r="BZ40" s="711"/>
      <c r="CA40" s="712"/>
      <c r="CB40" s="16"/>
      <c r="CC40" s="16"/>
    </row>
    <row r="41" spans="1:81" ht="26.4">
      <c r="A41" s="59" t="str">
        <f t="shared" si="13"/>
        <v>S</v>
      </c>
      <c r="B41" s="59">
        <f t="shared" si="14"/>
        <v>0</v>
      </c>
      <c r="C41" s="59">
        <f t="shared" ca="1" si="2"/>
        <v>6</v>
      </c>
      <c r="D41" s="59">
        <f t="shared" ca="1" si="3"/>
        <v>0</v>
      </c>
      <c r="E41" s="59">
        <f t="shared" ca="1" si="4"/>
        <v>0</v>
      </c>
      <c r="F41" s="59">
        <f t="shared" ca="1" si="5"/>
        <v>0</v>
      </c>
      <c r="G41" s="59">
        <f t="shared" ca="1" si="6"/>
        <v>2</v>
      </c>
      <c r="H41" s="59">
        <f t="shared" ca="1" si="7"/>
        <v>0</v>
      </c>
      <c r="I41" s="59">
        <f t="shared" ca="1" si="8"/>
        <v>0</v>
      </c>
      <c r="J41" s="59">
        <f t="shared" si="9"/>
        <v>1</v>
      </c>
      <c r="K41" s="127" t="s">
        <v>4</v>
      </c>
      <c r="L41" s="165" t="s">
        <v>97</v>
      </c>
      <c r="M41" s="129" t="s">
        <v>98</v>
      </c>
      <c r="N41" s="130" t="s">
        <v>43</v>
      </c>
      <c r="O41" s="131">
        <v>9.2996483435128621</v>
      </c>
      <c r="P41" s="132">
        <v>108.06</v>
      </c>
      <c r="Q41" s="133">
        <f t="shared" si="15"/>
        <v>0</v>
      </c>
      <c r="R41" s="1">
        <f t="shared" si="21"/>
        <v>1004.9199999999998</v>
      </c>
      <c r="S41" s="2">
        <f t="shared" ca="1" si="10"/>
        <v>0</v>
      </c>
      <c r="T41" s="3">
        <f t="shared" si="24"/>
        <v>9.3000000000000007</v>
      </c>
      <c r="U41" s="4">
        <f t="shared" ca="1" si="22"/>
        <v>9.3000000000000007</v>
      </c>
      <c r="V41" s="5"/>
      <c r="W41" s="6">
        <f t="shared" si="25"/>
        <v>1004.9199999999998</v>
      </c>
      <c r="X41" s="7">
        <f t="shared" si="23"/>
        <v>1004.9199999999998</v>
      </c>
      <c r="Y41" s="134"/>
      <c r="Z41" s="135">
        <v>9.3000000000000007</v>
      </c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7"/>
      <c r="AL41" s="135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7"/>
      <c r="AX41" s="16"/>
      <c r="AY41" s="138">
        <v>0</v>
      </c>
      <c r="AZ41" s="8">
        <f t="shared" si="16"/>
        <v>0</v>
      </c>
      <c r="BA41" s="139">
        <v>0</v>
      </c>
      <c r="BB41" s="9" t="e">
        <f t="shared" si="11"/>
        <v>#REF!</v>
      </c>
      <c r="BC41" s="10" t="e">
        <f t="shared" si="17"/>
        <v>#REF!</v>
      </c>
      <c r="BD41" s="11" t="e">
        <f t="shared" si="12"/>
        <v>#REF!</v>
      </c>
      <c r="BF41" s="701" t="e">
        <f t="shared" si="18"/>
        <v>#REF!</v>
      </c>
      <c r="BG41" s="702"/>
      <c r="BH41" s="12" t="e">
        <f t="shared" si="19"/>
        <v>#REF!</v>
      </c>
      <c r="BI41" s="703" t="e">
        <f t="shared" si="20"/>
        <v>#REF!</v>
      </c>
      <c r="BJ41" s="704"/>
      <c r="BK41" s="705" t="e">
        <f>IF(BR41&gt;0,CHOOSE(MATCH(RegimeExecucao,{"Unitário","Global"},0),IF($A41="S",BR41/BN41,""),(BR41/BN41)*100),"")</f>
        <v>#REF!</v>
      </c>
      <c r="BL41" s="706"/>
      <c r="BM41" s="707"/>
      <c r="BN41" s="708" t="e">
        <f>IF(BR41&gt;0,CHOOSE(MATCH(RegimeExecucao,{"Unitário","Global"},0),IF($A41="S",ROUND(P41,arredunit),""),ROUND(R41,arredtot)),"")</f>
        <v>#REF!</v>
      </c>
      <c r="BO41" s="709"/>
      <c r="BP41" s="709"/>
      <c r="BQ41" s="710"/>
      <c r="BR41" s="708" t="e">
        <f t="shared" si="1"/>
        <v>#REF!</v>
      </c>
      <c r="BS41" s="709"/>
      <c r="BT41" s="709"/>
      <c r="BU41" s="710"/>
      <c r="BV41" s="711"/>
      <c r="BW41" s="711"/>
      <c r="BX41" s="711"/>
      <c r="BY41" s="711"/>
      <c r="BZ41" s="711"/>
      <c r="CA41" s="712"/>
      <c r="CB41" s="16"/>
      <c r="CC41" s="16"/>
    </row>
    <row r="42" spans="1:81" ht="26.4">
      <c r="A42" s="59" t="str">
        <f t="shared" si="13"/>
        <v>S</v>
      </c>
      <c r="B42" s="59">
        <f t="shared" si="14"/>
        <v>0</v>
      </c>
      <c r="C42" s="59">
        <f t="shared" ca="1" si="2"/>
        <v>6</v>
      </c>
      <c r="D42" s="59">
        <f t="shared" ca="1" si="3"/>
        <v>0</v>
      </c>
      <c r="E42" s="59">
        <f t="shared" ca="1" si="4"/>
        <v>0</v>
      </c>
      <c r="F42" s="59">
        <f t="shared" ca="1" si="5"/>
        <v>0</v>
      </c>
      <c r="G42" s="59">
        <f t="shared" ca="1" si="6"/>
        <v>3</v>
      </c>
      <c r="H42" s="59">
        <f t="shared" ca="1" si="7"/>
        <v>0</v>
      </c>
      <c r="I42" s="59">
        <f t="shared" ca="1" si="8"/>
        <v>0</v>
      </c>
      <c r="J42" s="59">
        <f t="shared" si="9"/>
        <v>1</v>
      </c>
      <c r="K42" s="127" t="s">
        <v>4</v>
      </c>
      <c r="L42" s="165" t="s">
        <v>99</v>
      </c>
      <c r="M42" s="129" t="s">
        <v>100</v>
      </c>
      <c r="N42" s="130" t="s">
        <v>59</v>
      </c>
      <c r="O42" s="131">
        <v>12.399188092016239</v>
      </c>
      <c r="P42" s="132">
        <v>29.56</v>
      </c>
      <c r="Q42" s="133">
        <f t="shared" si="15"/>
        <v>0</v>
      </c>
      <c r="R42" s="1">
        <f t="shared" si="21"/>
        <v>366.52</v>
      </c>
      <c r="S42" s="2">
        <f t="shared" ca="1" si="10"/>
        <v>0</v>
      </c>
      <c r="T42" s="3">
        <f t="shared" si="24"/>
        <v>12.4</v>
      </c>
      <c r="U42" s="4">
        <f t="shared" ca="1" si="22"/>
        <v>12.4</v>
      </c>
      <c r="V42" s="5"/>
      <c r="W42" s="6">
        <f t="shared" si="25"/>
        <v>366.52</v>
      </c>
      <c r="X42" s="7">
        <f t="shared" si="23"/>
        <v>366.52</v>
      </c>
      <c r="Y42" s="134"/>
      <c r="Z42" s="135">
        <v>12.4</v>
      </c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7"/>
      <c r="AL42" s="135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7"/>
      <c r="AX42" s="16"/>
      <c r="AY42" s="138">
        <v>0</v>
      </c>
      <c r="AZ42" s="8">
        <f t="shared" si="16"/>
        <v>0</v>
      </c>
      <c r="BA42" s="139">
        <v>0</v>
      </c>
      <c r="BB42" s="9" t="e">
        <f t="shared" si="11"/>
        <v>#REF!</v>
      </c>
      <c r="BC42" s="10" t="e">
        <f t="shared" si="17"/>
        <v>#REF!</v>
      </c>
      <c r="BD42" s="11" t="e">
        <f t="shared" si="12"/>
        <v>#REF!</v>
      </c>
      <c r="BF42" s="701" t="e">
        <f t="shared" si="18"/>
        <v>#REF!</v>
      </c>
      <c r="BG42" s="702"/>
      <c r="BH42" s="12" t="e">
        <f t="shared" si="19"/>
        <v>#REF!</v>
      </c>
      <c r="BI42" s="703" t="e">
        <f t="shared" si="20"/>
        <v>#REF!</v>
      </c>
      <c r="BJ42" s="704"/>
      <c r="BK42" s="705" t="e">
        <f>IF(BR42&gt;0,CHOOSE(MATCH(RegimeExecucao,{"Unitário","Global"},0),IF($A42="S",BR42/BN42,""),(BR42/BN42)*100),"")</f>
        <v>#REF!</v>
      </c>
      <c r="BL42" s="706"/>
      <c r="BM42" s="707"/>
      <c r="BN42" s="708" t="e">
        <f>IF(BR42&gt;0,CHOOSE(MATCH(RegimeExecucao,{"Unitário","Global"},0),IF($A42="S",ROUND(P42,arredunit),""),ROUND(R42,arredtot)),"")</f>
        <v>#REF!</v>
      </c>
      <c r="BO42" s="709"/>
      <c r="BP42" s="709"/>
      <c r="BQ42" s="710"/>
      <c r="BR42" s="708" t="e">
        <f t="shared" si="1"/>
        <v>#REF!</v>
      </c>
      <c r="BS42" s="709"/>
      <c r="BT42" s="709"/>
      <c r="BU42" s="710"/>
      <c r="BV42" s="711"/>
      <c r="BW42" s="711"/>
      <c r="BX42" s="711"/>
      <c r="BY42" s="711"/>
      <c r="BZ42" s="711"/>
      <c r="CA42" s="712"/>
      <c r="CB42" s="16"/>
      <c r="CC42" s="16"/>
    </row>
    <row r="43" spans="1:81">
      <c r="A43" s="59">
        <f t="shared" si="13"/>
        <v>1</v>
      </c>
      <c r="B43" s="59">
        <f t="shared" ca="1" si="14"/>
        <v>8</v>
      </c>
      <c r="C43" s="59">
        <f t="shared" ca="1" si="2"/>
        <v>7</v>
      </c>
      <c r="D43" s="59">
        <f t="shared" ca="1" si="3"/>
        <v>0</v>
      </c>
      <c r="E43" s="59">
        <f t="shared" ca="1" si="4"/>
        <v>0</v>
      </c>
      <c r="F43" s="59">
        <f t="shared" ca="1" si="5"/>
        <v>0</v>
      </c>
      <c r="G43" s="59">
        <f t="shared" ca="1" si="6"/>
        <v>0</v>
      </c>
      <c r="H43" s="59">
        <f t="shared" ca="1" si="7"/>
        <v>46</v>
      </c>
      <c r="I43" s="59">
        <f t="shared" ca="1" si="8"/>
        <v>8</v>
      </c>
      <c r="J43" s="59">
        <f t="shared" si="9"/>
        <v>0</v>
      </c>
      <c r="K43" s="127" t="str">
        <f>CHOOSE(1+LOG(1+2*($J43=3)+4*($J43=2)+8*($J43=1)+16*(AND($L43&lt;&gt;"",$L43&lt;&gt;0,$J43=0))+32*OR($N43&lt;&gt;"",RegimeExecucao="Global",AND($L43="",$M43="",$N43="")),2),"","Nível 4","Nível 3","Nível 2","Meta","Serviço")</f>
        <v>Meta</v>
      </c>
      <c r="L43" s="128">
        <v>7</v>
      </c>
      <c r="M43" s="129" t="s">
        <v>101</v>
      </c>
      <c r="N43" s="130"/>
      <c r="O43" s="131"/>
      <c r="P43" s="132"/>
      <c r="Q43" s="133">
        <f t="shared" si="15"/>
        <v>5837.2699999999995</v>
      </c>
      <c r="R43" s="1">
        <f>R44</f>
        <v>5837.2699999999995</v>
      </c>
      <c r="S43" s="2">
        <f t="shared" ca="1" si="10"/>
        <v>0</v>
      </c>
      <c r="T43" s="3">
        <f t="shared" si="24"/>
        <v>0</v>
      </c>
      <c r="U43" s="4">
        <f t="shared" ca="1" si="22"/>
        <v>0</v>
      </c>
      <c r="V43" s="1">
        <f>V44</f>
        <v>0</v>
      </c>
      <c r="W43" s="1">
        <f>W44</f>
        <v>11.78</v>
      </c>
      <c r="X43" s="7">
        <f t="shared" si="23"/>
        <v>11.78</v>
      </c>
      <c r="Y43" s="134"/>
      <c r="Z43" s="135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7"/>
      <c r="AL43" s="135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7"/>
      <c r="AX43" s="16"/>
      <c r="AY43" s="138">
        <v>0</v>
      </c>
      <c r="AZ43" s="8">
        <f t="shared" si="16"/>
        <v>0</v>
      </c>
      <c r="BA43" s="139">
        <v>0</v>
      </c>
      <c r="BB43" s="9" t="e">
        <f t="shared" ca="1" si="11"/>
        <v>#REF!</v>
      </c>
      <c r="BC43" s="10" t="e">
        <f t="shared" ca="1" si="17"/>
        <v>#REF!</v>
      </c>
      <c r="BD43" s="11" t="e">
        <f t="shared" ca="1" si="12"/>
        <v>#REF!</v>
      </c>
      <c r="BF43" s="701" t="e">
        <f t="shared" ca="1" si="18"/>
        <v>#REF!</v>
      </c>
      <c r="BG43" s="702"/>
      <c r="BH43" s="12" t="e">
        <f t="shared" ca="1" si="19"/>
        <v>#REF!</v>
      </c>
      <c r="BI43" s="703" t="e">
        <f t="shared" ca="1" si="20"/>
        <v>#REF!</v>
      </c>
      <c r="BJ43" s="704"/>
      <c r="BK43" s="705" t="e">
        <f ca="1">IF(BR43&gt;0,CHOOSE(MATCH(RegimeExecucao,{"Unitário","Global"},0),IF($A43="S",BR43/BN43,""),(BR43/BN43)*100),"")</f>
        <v>#REF!</v>
      </c>
      <c r="BL43" s="706"/>
      <c r="BM43" s="707"/>
      <c r="BN43" s="708" t="e">
        <f ca="1">IF(BR43&gt;0,CHOOSE(MATCH(RegimeExecucao,{"Unitário","Global"},0),IF($A43="S",ROUND(P43,arredunit),""),ROUND(R43,arredtot)),"")</f>
        <v>#REF!</v>
      </c>
      <c r="BO43" s="709"/>
      <c r="BP43" s="709"/>
      <c r="BQ43" s="710"/>
      <c r="BR43" s="708" t="e">
        <f t="shared" ca="1" si="1"/>
        <v>#REF!</v>
      </c>
      <c r="BS43" s="709"/>
      <c r="BT43" s="709"/>
      <c r="BU43" s="710"/>
      <c r="BV43" s="711"/>
      <c r="BW43" s="711"/>
      <c r="BX43" s="711"/>
      <c r="BY43" s="711"/>
      <c r="BZ43" s="711"/>
      <c r="CA43" s="712"/>
      <c r="CB43" s="16"/>
      <c r="CC43" s="16"/>
    </row>
    <row r="44" spans="1:81">
      <c r="A44" s="59">
        <f t="shared" si="13"/>
        <v>2</v>
      </c>
      <c r="B44" s="59">
        <f t="shared" ca="1" si="14"/>
        <v>7</v>
      </c>
      <c r="C44" s="59">
        <f t="shared" ca="1" si="2"/>
        <v>7</v>
      </c>
      <c r="D44" s="59">
        <f t="shared" ca="1" si="3"/>
        <v>1</v>
      </c>
      <c r="E44" s="59">
        <f t="shared" ca="1" si="4"/>
        <v>0</v>
      </c>
      <c r="F44" s="59">
        <f t="shared" ca="1" si="5"/>
        <v>0</v>
      </c>
      <c r="G44" s="59">
        <f t="shared" ca="1" si="6"/>
        <v>0</v>
      </c>
      <c r="H44" s="59">
        <f t="shared" ca="1" si="7"/>
        <v>7</v>
      </c>
      <c r="I44" s="59">
        <f t="shared" ca="1" si="8"/>
        <v>11</v>
      </c>
      <c r="J44" s="59">
        <f t="shared" si="9"/>
        <v>1</v>
      </c>
      <c r="K44" s="127" t="str">
        <f>CHOOSE(1+LOG(1+2*($J44=3)+4*($J44=2)+8*($J44=1)+16*(AND($L44&lt;&gt;"",$L44&lt;&gt;0,$J44=0))+32*OR($N44&lt;&gt;"",RegimeExecucao="Global",AND($L44="",$M44="",$N44="")),2),"","Nível 4","Nível 3","Nível 2","Meta","Serviço")</f>
        <v>Nível 2</v>
      </c>
      <c r="L44" s="165" t="s">
        <v>102</v>
      </c>
      <c r="M44" s="129" t="s">
        <v>103</v>
      </c>
      <c r="N44" s="130"/>
      <c r="O44" s="131"/>
      <c r="P44" s="132"/>
      <c r="Q44" s="133">
        <f t="shared" si="15"/>
        <v>5837.2699999999995</v>
      </c>
      <c r="R44" s="1">
        <f>SUM(R45:R50)</f>
        <v>5837.2699999999995</v>
      </c>
      <c r="S44" s="2">
        <f t="shared" ca="1" si="10"/>
        <v>0</v>
      </c>
      <c r="T44" s="3">
        <f t="shared" si="24"/>
        <v>0</v>
      </c>
      <c r="U44" s="4">
        <f t="shared" ca="1" si="22"/>
        <v>0</v>
      </c>
      <c r="V44" s="1">
        <f>SUM(V45:V50)</f>
        <v>0</v>
      </c>
      <c r="W44" s="1">
        <f>SUM(W45:W50)</f>
        <v>11.78</v>
      </c>
      <c r="X44" s="7">
        <f t="shared" si="23"/>
        <v>11.78</v>
      </c>
      <c r="Y44" s="134"/>
      <c r="Z44" s="135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7"/>
      <c r="AL44" s="135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7"/>
      <c r="AX44" s="16"/>
      <c r="AY44" s="138">
        <v>0</v>
      </c>
      <c r="AZ44" s="8">
        <f t="shared" si="16"/>
        <v>0</v>
      </c>
      <c r="BA44" s="139">
        <v>0</v>
      </c>
      <c r="BB44" s="9" t="e">
        <f t="shared" ca="1" si="11"/>
        <v>#REF!</v>
      </c>
      <c r="BC44" s="10" t="e">
        <f t="shared" ca="1" si="17"/>
        <v>#REF!</v>
      </c>
      <c r="BD44" s="11" t="e">
        <f t="shared" ca="1" si="12"/>
        <v>#REF!</v>
      </c>
      <c r="BF44" s="701" t="e">
        <f t="shared" ca="1" si="18"/>
        <v>#REF!</v>
      </c>
      <c r="BG44" s="702"/>
      <c r="BH44" s="12" t="e">
        <f t="shared" ca="1" si="19"/>
        <v>#REF!</v>
      </c>
      <c r="BI44" s="703" t="e">
        <f t="shared" ca="1" si="20"/>
        <v>#REF!</v>
      </c>
      <c r="BJ44" s="704"/>
      <c r="BK44" s="705" t="e">
        <f ca="1">IF(BR44&gt;0,CHOOSE(MATCH(RegimeExecucao,{"Unitário","Global"},0),IF($A44="S",BR44/BN44,""),(BR44/BN44)*100),"")</f>
        <v>#REF!</v>
      </c>
      <c r="BL44" s="706"/>
      <c r="BM44" s="707"/>
      <c r="BN44" s="708" t="e">
        <f ca="1">IF(BR44&gt;0,CHOOSE(MATCH(RegimeExecucao,{"Unitário","Global"},0),IF($A44="S",ROUND(P44,arredunit),""),ROUND(R44,arredtot)),"")</f>
        <v>#REF!</v>
      </c>
      <c r="BO44" s="709"/>
      <c r="BP44" s="709"/>
      <c r="BQ44" s="710"/>
      <c r="BR44" s="708" t="e">
        <f t="shared" ca="1" si="1"/>
        <v>#REF!</v>
      </c>
      <c r="BS44" s="709"/>
      <c r="BT44" s="709"/>
      <c r="BU44" s="710"/>
      <c r="BV44" s="711"/>
      <c r="BW44" s="711"/>
      <c r="BX44" s="711"/>
      <c r="BY44" s="711"/>
      <c r="BZ44" s="711"/>
      <c r="CA44" s="712"/>
      <c r="CB44" s="16"/>
      <c r="CC44" s="16"/>
    </row>
    <row r="45" spans="1:81" ht="26.4">
      <c r="A45" s="59" t="str">
        <f t="shared" si="13"/>
        <v>S</v>
      </c>
      <c r="B45" s="59">
        <f t="shared" si="14"/>
        <v>0</v>
      </c>
      <c r="C45" s="59">
        <f t="shared" ca="1" si="2"/>
        <v>7</v>
      </c>
      <c r="D45" s="59">
        <f t="shared" ca="1" si="3"/>
        <v>1</v>
      </c>
      <c r="E45" s="59">
        <f t="shared" ca="1" si="4"/>
        <v>0</v>
      </c>
      <c r="F45" s="59">
        <f t="shared" ca="1" si="5"/>
        <v>0</v>
      </c>
      <c r="G45" s="59">
        <f t="shared" ca="1" si="6"/>
        <v>1</v>
      </c>
      <c r="H45" s="59">
        <f t="shared" ca="1" si="7"/>
        <v>0</v>
      </c>
      <c r="I45" s="59">
        <f t="shared" ca="1" si="8"/>
        <v>0</v>
      </c>
      <c r="J45" s="59">
        <f t="shared" si="9"/>
        <v>2</v>
      </c>
      <c r="K45" s="127" t="s">
        <v>4</v>
      </c>
      <c r="L45" s="165" t="s">
        <v>104</v>
      </c>
      <c r="M45" s="129" t="s">
        <v>105</v>
      </c>
      <c r="N45" s="130" t="s">
        <v>93</v>
      </c>
      <c r="O45" s="131">
        <v>1</v>
      </c>
      <c r="P45" s="132">
        <v>623.73</v>
      </c>
      <c r="Q45" s="133">
        <f t="shared" si="15"/>
        <v>0</v>
      </c>
      <c r="R45" s="1">
        <f t="shared" si="21"/>
        <v>623.73</v>
      </c>
      <c r="S45" s="2">
        <f t="shared" ca="1" si="10"/>
        <v>0</v>
      </c>
      <c r="T45" s="3">
        <f t="shared" si="24"/>
        <v>0</v>
      </c>
      <c r="U45" s="4">
        <f t="shared" ca="1" si="22"/>
        <v>0</v>
      </c>
      <c r="V45" s="5"/>
      <c r="W45" s="6">
        <f t="shared" si="25"/>
        <v>0</v>
      </c>
      <c r="X45" s="7">
        <f t="shared" si="23"/>
        <v>0</v>
      </c>
      <c r="Y45" s="134"/>
      <c r="Z45" s="135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7"/>
      <c r="AL45" s="135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7"/>
      <c r="AX45" s="16"/>
      <c r="AY45" s="138">
        <v>0</v>
      </c>
      <c r="AZ45" s="8">
        <f t="shared" si="16"/>
        <v>0</v>
      </c>
      <c r="BA45" s="139">
        <v>0</v>
      </c>
      <c r="BB45" s="9" t="e">
        <f t="shared" si="11"/>
        <v>#REF!</v>
      </c>
      <c r="BC45" s="10" t="e">
        <f t="shared" si="17"/>
        <v>#REF!</v>
      </c>
      <c r="BD45" s="11" t="e">
        <f t="shared" si="12"/>
        <v>#REF!</v>
      </c>
      <c r="BF45" s="701" t="e">
        <f t="shared" si="18"/>
        <v>#REF!</v>
      </c>
      <c r="BG45" s="702"/>
      <c r="BH45" s="12" t="e">
        <f t="shared" si="19"/>
        <v>#REF!</v>
      </c>
      <c r="BI45" s="703" t="e">
        <f t="shared" si="20"/>
        <v>#REF!</v>
      </c>
      <c r="BJ45" s="704"/>
      <c r="BK45" s="705" t="e">
        <f>IF(BR45&gt;0,CHOOSE(MATCH(RegimeExecucao,{"Unitário","Global"},0),IF($A45="S",BR45/BN45,""),(BR45/BN45)*100),"")</f>
        <v>#REF!</v>
      </c>
      <c r="BL45" s="706"/>
      <c r="BM45" s="707"/>
      <c r="BN45" s="708" t="e">
        <f>IF(BR45&gt;0,CHOOSE(MATCH(RegimeExecucao,{"Unitário","Global"},0),IF($A45="S",ROUND(P45,arredunit),""),ROUND(R45,arredtot)),"")</f>
        <v>#REF!</v>
      </c>
      <c r="BO45" s="709"/>
      <c r="BP45" s="709"/>
      <c r="BQ45" s="710"/>
      <c r="BR45" s="708" t="e">
        <f t="shared" si="1"/>
        <v>#REF!</v>
      </c>
      <c r="BS45" s="709"/>
      <c r="BT45" s="709"/>
      <c r="BU45" s="710"/>
      <c r="BV45" s="711"/>
      <c r="BW45" s="711"/>
      <c r="BX45" s="711"/>
      <c r="BY45" s="711"/>
      <c r="BZ45" s="711"/>
      <c r="CA45" s="712"/>
      <c r="CB45" s="16"/>
      <c r="CC45" s="16"/>
    </row>
    <row r="46" spans="1:81" ht="39.6">
      <c r="A46" s="59" t="str">
        <f t="shared" si="13"/>
        <v>S</v>
      </c>
      <c r="B46" s="59">
        <f t="shared" si="14"/>
        <v>0</v>
      </c>
      <c r="C46" s="59">
        <f t="shared" ca="1" si="2"/>
        <v>7</v>
      </c>
      <c r="D46" s="59">
        <f t="shared" ca="1" si="3"/>
        <v>1</v>
      </c>
      <c r="E46" s="59">
        <f t="shared" ca="1" si="4"/>
        <v>0</v>
      </c>
      <c r="F46" s="59">
        <f t="shared" ca="1" si="5"/>
        <v>0</v>
      </c>
      <c r="G46" s="59">
        <f t="shared" ca="1" si="6"/>
        <v>2</v>
      </c>
      <c r="H46" s="59">
        <f t="shared" ca="1" si="7"/>
        <v>0</v>
      </c>
      <c r="I46" s="59">
        <f t="shared" ca="1" si="8"/>
        <v>0</v>
      </c>
      <c r="J46" s="59">
        <f t="shared" si="9"/>
        <v>2</v>
      </c>
      <c r="K46" s="127" t="s">
        <v>4</v>
      </c>
      <c r="L46" s="165" t="s">
        <v>106</v>
      </c>
      <c r="M46" s="129" t="s">
        <v>107</v>
      </c>
      <c r="N46" s="130" t="s">
        <v>93</v>
      </c>
      <c r="O46" s="131">
        <v>2</v>
      </c>
      <c r="P46" s="132">
        <v>139.47999999999999</v>
      </c>
      <c r="Q46" s="133">
        <f t="shared" si="15"/>
        <v>0</v>
      </c>
      <c r="R46" s="1">
        <f t="shared" si="21"/>
        <v>278.95999999999998</v>
      </c>
      <c r="S46" s="2">
        <f t="shared" ca="1" si="10"/>
        <v>0</v>
      </c>
      <c r="T46" s="3">
        <f t="shared" si="24"/>
        <v>0</v>
      </c>
      <c r="U46" s="4">
        <f t="shared" ca="1" si="22"/>
        <v>0</v>
      </c>
      <c r="V46" s="5"/>
      <c r="W46" s="6">
        <f t="shared" si="25"/>
        <v>0</v>
      </c>
      <c r="X46" s="7">
        <f t="shared" si="23"/>
        <v>0</v>
      </c>
      <c r="Y46" s="134"/>
      <c r="Z46" s="135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7"/>
      <c r="AL46" s="135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7"/>
      <c r="AX46" s="16"/>
      <c r="AY46" s="138">
        <v>0</v>
      </c>
      <c r="AZ46" s="8">
        <f t="shared" si="16"/>
        <v>0</v>
      </c>
      <c r="BA46" s="139">
        <v>0</v>
      </c>
      <c r="BB46" s="9" t="e">
        <f t="shared" si="11"/>
        <v>#REF!</v>
      </c>
      <c r="BC46" s="10" t="e">
        <f t="shared" si="17"/>
        <v>#REF!</v>
      </c>
      <c r="BD46" s="11" t="e">
        <f t="shared" si="12"/>
        <v>#REF!</v>
      </c>
      <c r="BF46" s="701" t="e">
        <f t="shared" si="18"/>
        <v>#REF!</v>
      </c>
      <c r="BG46" s="702"/>
      <c r="BH46" s="12" t="e">
        <f t="shared" si="19"/>
        <v>#REF!</v>
      </c>
      <c r="BI46" s="703" t="e">
        <f t="shared" si="20"/>
        <v>#REF!</v>
      </c>
      <c r="BJ46" s="704"/>
      <c r="BK46" s="705" t="e">
        <f>IF(BR46&gt;0,CHOOSE(MATCH(RegimeExecucao,{"Unitário","Global"},0),IF($A46="S",BR46/BN46,""),(BR46/BN46)*100),"")</f>
        <v>#REF!</v>
      </c>
      <c r="BL46" s="706"/>
      <c r="BM46" s="707"/>
      <c r="BN46" s="708" t="e">
        <f>IF(BR46&gt;0,CHOOSE(MATCH(RegimeExecucao,{"Unitário","Global"},0),IF($A46="S",ROUND(P46,arredunit),""),ROUND(R46,arredtot)),"")</f>
        <v>#REF!</v>
      </c>
      <c r="BO46" s="709"/>
      <c r="BP46" s="709"/>
      <c r="BQ46" s="710"/>
      <c r="BR46" s="708" t="e">
        <f t="shared" si="1"/>
        <v>#REF!</v>
      </c>
      <c r="BS46" s="709"/>
      <c r="BT46" s="709"/>
      <c r="BU46" s="710"/>
      <c r="BV46" s="711"/>
      <c r="BW46" s="711"/>
      <c r="BX46" s="711"/>
      <c r="BY46" s="711"/>
      <c r="BZ46" s="711"/>
      <c r="CA46" s="712"/>
      <c r="CB46" s="16"/>
      <c r="CC46" s="16"/>
    </row>
    <row r="47" spans="1:81">
      <c r="A47" s="59" t="str">
        <f t="shared" si="13"/>
        <v>S</v>
      </c>
      <c r="B47" s="59">
        <f t="shared" si="14"/>
        <v>0</v>
      </c>
      <c r="C47" s="59">
        <f t="shared" ca="1" si="2"/>
        <v>7</v>
      </c>
      <c r="D47" s="59">
        <f t="shared" ca="1" si="3"/>
        <v>1</v>
      </c>
      <c r="E47" s="59">
        <f t="shared" ca="1" si="4"/>
        <v>0</v>
      </c>
      <c r="F47" s="59">
        <f t="shared" ca="1" si="5"/>
        <v>0</v>
      </c>
      <c r="G47" s="59">
        <f t="shared" ca="1" si="6"/>
        <v>3</v>
      </c>
      <c r="H47" s="59">
        <f t="shared" ca="1" si="7"/>
        <v>0</v>
      </c>
      <c r="I47" s="59">
        <f t="shared" ca="1" si="8"/>
        <v>0</v>
      </c>
      <c r="J47" s="59">
        <f t="shared" si="9"/>
        <v>2</v>
      </c>
      <c r="K47" s="127" t="s">
        <v>4</v>
      </c>
      <c r="L47" s="165" t="s">
        <v>108</v>
      </c>
      <c r="M47" s="129" t="s">
        <v>109</v>
      </c>
      <c r="N47" s="130" t="s">
        <v>93</v>
      </c>
      <c r="O47" s="131">
        <v>1</v>
      </c>
      <c r="P47" s="132">
        <v>42.55</v>
      </c>
      <c r="Q47" s="133">
        <f t="shared" si="15"/>
        <v>0</v>
      </c>
      <c r="R47" s="1">
        <f t="shared" si="21"/>
        <v>42.55</v>
      </c>
      <c r="S47" s="2">
        <f t="shared" ca="1" si="10"/>
        <v>0</v>
      </c>
      <c r="T47" s="3">
        <f t="shared" si="24"/>
        <v>0</v>
      </c>
      <c r="U47" s="4">
        <f t="shared" ca="1" si="22"/>
        <v>0</v>
      </c>
      <c r="V47" s="5"/>
      <c r="W47" s="6">
        <f t="shared" si="25"/>
        <v>0</v>
      </c>
      <c r="X47" s="7">
        <f t="shared" si="23"/>
        <v>0</v>
      </c>
      <c r="Y47" s="134"/>
      <c r="Z47" s="135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7"/>
      <c r="AL47" s="135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7"/>
      <c r="AX47" s="16"/>
      <c r="AY47" s="138">
        <v>0</v>
      </c>
      <c r="AZ47" s="8">
        <f t="shared" si="16"/>
        <v>0</v>
      </c>
      <c r="BA47" s="139">
        <v>0</v>
      </c>
      <c r="BB47" s="9" t="e">
        <f t="shared" si="11"/>
        <v>#REF!</v>
      </c>
      <c r="BC47" s="10" t="e">
        <f t="shared" si="17"/>
        <v>#REF!</v>
      </c>
      <c r="BD47" s="11" t="e">
        <f t="shared" si="12"/>
        <v>#REF!</v>
      </c>
      <c r="BF47" s="701" t="e">
        <f t="shared" si="18"/>
        <v>#REF!</v>
      </c>
      <c r="BG47" s="702"/>
      <c r="BH47" s="12" t="e">
        <f t="shared" si="19"/>
        <v>#REF!</v>
      </c>
      <c r="BI47" s="703" t="e">
        <f t="shared" si="20"/>
        <v>#REF!</v>
      </c>
      <c r="BJ47" s="704"/>
      <c r="BK47" s="705" t="e">
        <f>IF(BR47&gt;0,CHOOSE(MATCH(RegimeExecucao,{"Unitário","Global"},0),IF($A47="S",BR47/BN47,""),(BR47/BN47)*100),"")</f>
        <v>#REF!</v>
      </c>
      <c r="BL47" s="706"/>
      <c r="BM47" s="707"/>
      <c r="BN47" s="708" t="e">
        <f>IF(BR47&gt;0,CHOOSE(MATCH(RegimeExecucao,{"Unitário","Global"},0),IF($A47="S",ROUND(P47,arredunit),""),ROUND(R47,arredtot)),"")</f>
        <v>#REF!</v>
      </c>
      <c r="BO47" s="709"/>
      <c r="BP47" s="709"/>
      <c r="BQ47" s="710"/>
      <c r="BR47" s="708" t="e">
        <f t="shared" si="1"/>
        <v>#REF!</v>
      </c>
      <c r="BS47" s="709"/>
      <c r="BT47" s="709"/>
      <c r="BU47" s="710"/>
      <c r="BV47" s="711"/>
      <c r="BW47" s="711"/>
      <c r="BX47" s="711"/>
      <c r="BY47" s="711"/>
      <c r="BZ47" s="711"/>
      <c r="CA47" s="712"/>
      <c r="CB47" s="16"/>
      <c r="CC47" s="16"/>
    </row>
    <row r="48" spans="1:81" ht="26.4">
      <c r="A48" s="59" t="str">
        <f t="shared" si="13"/>
        <v>S</v>
      </c>
      <c r="B48" s="59">
        <f t="shared" si="14"/>
        <v>0</v>
      </c>
      <c r="C48" s="59">
        <f t="shared" ca="1" si="2"/>
        <v>7</v>
      </c>
      <c r="D48" s="59">
        <f t="shared" ca="1" si="3"/>
        <v>1</v>
      </c>
      <c r="E48" s="59">
        <f t="shared" ca="1" si="4"/>
        <v>0</v>
      </c>
      <c r="F48" s="59">
        <f t="shared" ca="1" si="5"/>
        <v>0</v>
      </c>
      <c r="G48" s="59">
        <f t="shared" ca="1" si="6"/>
        <v>4</v>
      </c>
      <c r="H48" s="59">
        <f t="shared" ca="1" si="7"/>
        <v>0</v>
      </c>
      <c r="I48" s="59">
        <f t="shared" ca="1" si="8"/>
        <v>0</v>
      </c>
      <c r="J48" s="59">
        <f t="shared" si="9"/>
        <v>2</v>
      </c>
      <c r="K48" s="127" t="s">
        <v>4</v>
      </c>
      <c r="L48" s="165" t="s">
        <v>110</v>
      </c>
      <c r="M48" s="129" t="s">
        <v>111</v>
      </c>
      <c r="N48" s="130" t="s">
        <v>93</v>
      </c>
      <c r="O48" s="131">
        <v>1</v>
      </c>
      <c r="P48" s="132">
        <v>937.89</v>
      </c>
      <c r="Q48" s="133">
        <f t="shared" si="15"/>
        <v>0</v>
      </c>
      <c r="R48" s="1">
        <f t="shared" si="21"/>
        <v>937.89</v>
      </c>
      <c r="S48" s="2">
        <f t="shared" ca="1" si="10"/>
        <v>0</v>
      </c>
      <c r="T48" s="3">
        <f t="shared" si="24"/>
        <v>0</v>
      </c>
      <c r="U48" s="4">
        <f t="shared" ca="1" si="22"/>
        <v>0</v>
      </c>
      <c r="V48" s="5"/>
      <c r="W48" s="6">
        <f t="shared" si="25"/>
        <v>0</v>
      </c>
      <c r="X48" s="7">
        <f t="shared" si="23"/>
        <v>0</v>
      </c>
      <c r="Y48" s="134"/>
      <c r="Z48" s="135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7"/>
      <c r="AL48" s="135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7"/>
      <c r="AX48" s="16"/>
      <c r="AY48" s="138">
        <v>0</v>
      </c>
      <c r="AZ48" s="8">
        <f t="shared" si="16"/>
        <v>0</v>
      </c>
      <c r="BA48" s="139">
        <v>0</v>
      </c>
      <c r="BB48" s="9" t="e">
        <f t="shared" si="11"/>
        <v>#REF!</v>
      </c>
      <c r="BC48" s="10" t="e">
        <f t="shared" si="17"/>
        <v>#REF!</v>
      </c>
      <c r="BD48" s="11" t="e">
        <f t="shared" si="12"/>
        <v>#REF!</v>
      </c>
      <c r="BF48" s="701" t="e">
        <f t="shared" si="18"/>
        <v>#REF!</v>
      </c>
      <c r="BG48" s="702"/>
      <c r="BH48" s="12" t="e">
        <f t="shared" si="19"/>
        <v>#REF!</v>
      </c>
      <c r="BI48" s="703" t="e">
        <f t="shared" si="20"/>
        <v>#REF!</v>
      </c>
      <c r="BJ48" s="704"/>
      <c r="BK48" s="705" t="e">
        <f>IF(BR48&gt;0,CHOOSE(MATCH(RegimeExecucao,{"Unitário","Global"},0),IF($A48="S",BR48/BN48,""),(BR48/BN48)*100),"")</f>
        <v>#REF!</v>
      </c>
      <c r="BL48" s="706"/>
      <c r="BM48" s="707"/>
      <c r="BN48" s="708" t="e">
        <f>IF(BR48&gt;0,CHOOSE(MATCH(RegimeExecucao,{"Unitário","Global"},0),IF($A48="S",ROUND(P48,arredunit),""),ROUND(R48,arredtot)),"")</f>
        <v>#REF!</v>
      </c>
      <c r="BO48" s="709"/>
      <c r="BP48" s="709"/>
      <c r="BQ48" s="710"/>
      <c r="BR48" s="708" t="e">
        <f t="shared" si="1"/>
        <v>#REF!</v>
      </c>
      <c r="BS48" s="709"/>
      <c r="BT48" s="709"/>
      <c r="BU48" s="710"/>
      <c r="BV48" s="711"/>
      <c r="BW48" s="711"/>
      <c r="BX48" s="711"/>
      <c r="BY48" s="711"/>
      <c r="BZ48" s="711"/>
      <c r="CA48" s="712"/>
      <c r="CB48" s="16"/>
      <c r="CC48" s="16"/>
    </row>
    <row r="49" spans="1:81" ht="26.4">
      <c r="A49" s="59" t="str">
        <f t="shared" si="13"/>
        <v>S</v>
      </c>
      <c r="B49" s="59">
        <f t="shared" si="14"/>
        <v>0</v>
      </c>
      <c r="C49" s="59">
        <f t="shared" ca="1" si="2"/>
        <v>7</v>
      </c>
      <c r="D49" s="59">
        <f t="shared" ca="1" si="3"/>
        <v>1</v>
      </c>
      <c r="E49" s="59">
        <f t="shared" ca="1" si="4"/>
        <v>0</v>
      </c>
      <c r="F49" s="59">
        <f t="shared" ca="1" si="5"/>
        <v>0</v>
      </c>
      <c r="G49" s="59">
        <f t="shared" ca="1" si="6"/>
        <v>5</v>
      </c>
      <c r="H49" s="59">
        <f t="shared" ca="1" si="7"/>
        <v>0</v>
      </c>
      <c r="I49" s="59">
        <f t="shared" ca="1" si="8"/>
        <v>0</v>
      </c>
      <c r="J49" s="59">
        <f t="shared" si="9"/>
        <v>2</v>
      </c>
      <c r="K49" s="127" t="s">
        <v>4</v>
      </c>
      <c r="L49" s="165" t="s">
        <v>112</v>
      </c>
      <c r="M49" s="129" t="s">
        <v>113</v>
      </c>
      <c r="N49" s="130" t="s">
        <v>93</v>
      </c>
      <c r="O49" s="131">
        <v>1.9991511035653653</v>
      </c>
      <c r="P49" s="132">
        <v>11.78</v>
      </c>
      <c r="Q49" s="133">
        <f t="shared" si="15"/>
        <v>0</v>
      </c>
      <c r="R49" s="1">
        <f t="shared" si="21"/>
        <v>23.55</v>
      </c>
      <c r="S49" s="2">
        <f t="shared" ca="1" si="10"/>
        <v>0</v>
      </c>
      <c r="T49" s="3">
        <f t="shared" si="24"/>
        <v>1</v>
      </c>
      <c r="U49" s="4">
        <f t="shared" ca="1" si="22"/>
        <v>1</v>
      </c>
      <c r="V49" s="5"/>
      <c r="W49" s="6">
        <f t="shared" si="25"/>
        <v>11.78</v>
      </c>
      <c r="X49" s="7">
        <f t="shared" si="23"/>
        <v>11.78</v>
      </c>
      <c r="Y49" s="134"/>
      <c r="Z49" s="135">
        <v>1</v>
      </c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7"/>
      <c r="AL49" s="135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7"/>
      <c r="AX49" s="16"/>
      <c r="AY49" s="138">
        <v>0</v>
      </c>
      <c r="AZ49" s="8">
        <f t="shared" si="16"/>
        <v>0</v>
      </c>
      <c r="BA49" s="139">
        <v>0</v>
      </c>
      <c r="BB49" s="9" t="e">
        <f t="shared" si="11"/>
        <v>#REF!</v>
      </c>
      <c r="BC49" s="10" t="e">
        <f t="shared" si="17"/>
        <v>#REF!</v>
      </c>
      <c r="BD49" s="11" t="e">
        <f t="shared" si="12"/>
        <v>#REF!</v>
      </c>
      <c r="BF49" s="701" t="e">
        <f t="shared" si="18"/>
        <v>#REF!</v>
      </c>
      <c r="BG49" s="702"/>
      <c r="BH49" s="12" t="e">
        <f t="shared" si="19"/>
        <v>#REF!</v>
      </c>
      <c r="BI49" s="703" t="e">
        <f t="shared" si="20"/>
        <v>#REF!</v>
      </c>
      <c r="BJ49" s="704"/>
      <c r="BK49" s="705" t="e">
        <f>IF(BR49&gt;0,CHOOSE(MATCH(RegimeExecucao,{"Unitário","Global"},0),IF($A49="S",BR49/BN49,""),(BR49/BN49)*100),"")</f>
        <v>#REF!</v>
      </c>
      <c r="BL49" s="706"/>
      <c r="BM49" s="707"/>
      <c r="BN49" s="708" t="e">
        <f>IF(BR49&gt;0,CHOOSE(MATCH(RegimeExecucao,{"Unitário","Global"},0),IF($A49="S",ROUND(P49,arredunit),""),ROUND(R49,arredtot)),"")</f>
        <v>#REF!</v>
      </c>
      <c r="BO49" s="709"/>
      <c r="BP49" s="709"/>
      <c r="BQ49" s="710"/>
      <c r="BR49" s="708" t="e">
        <f t="shared" si="1"/>
        <v>#REF!</v>
      </c>
      <c r="BS49" s="709"/>
      <c r="BT49" s="709"/>
      <c r="BU49" s="710"/>
      <c r="BV49" s="711"/>
      <c r="BW49" s="711"/>
      <c r="BX49" s="711"/>
      <c r="BY49" s="711"/>
      <c r="BZ49" s="711"/>
      <c r="CA49" s="712"/>
      <c r="CB49" s="16"/>
      <c r="CC49" s="16"/>
    </row>
    <row r="50" spans="1:81" ht="26.4">
      <c r="A50" s="59" t="str">
        <f t="shared" si="13"/>
        <v>S</v>
      </c>
      <c r="B50" s="59">
        <f t="shared" si="14"/>
        <v>0</v>
      </c>
      <c r="C50" s="59">
        <f t="shared" ca="1" si="2"/>
        <v>7</v>
      </c>
      <c r="D50" s="59">
        <f t="shared" ca="1" si="3"/>
        <v>1</v>
      </c>
      <c r="E50" s="59">
        <f t="shared" ca="1" si="4"/>
        <v>0</v>
      </c>
      <c r="F50" s="59">
        <f t="shared" ca="1" si="5"/>
        <v>0</v>
      </c>
      <c r="G50" s="59">
        <f t="shared" ca="1" si="6"/>
        <v>6</v>
      </c>
      <c r="H50" s="59">
        <f t="shared" ca="1" si="7"/>
        <v>0</v>
      </c>
      <c r="I50" s="59">
        <f t="shared" ca="1" si="8"/>
        <v>0</v>
      </c>
      <c r="J50" s="59">
        <f t="shared" si="9"/>
        <v>2</v>
      </c>
      <c r="K50" s="127" t="s">
        <v>4</v>
      </c>
      <c r="L50" s="165" t="s">
        <v>114</v>
      </c>
      <c r="M50" s="129" t="s">
        <v>115</v>
      </c>
      <c r="N50" s="130" t="s">
        <v>93</v>
      </c>
      <c r="O50" s="131">
        <v>2.0000050883075779</v>
      </c>
      <c r="P50" s="132">
        <v>1965.29</v>
      </c>
      <c r="Q50" s="133">
        <f t="shared" si="15"/>
        <v>0</v>
      </c>
      <c r="R50" s="1">
        <f t="shared" si="21"/>
        <v>3930.5899999999997</v>
      </c>
      <c r="S50" s="2">
        <f t="shared" ca="1" si="10"/>
        <v>0</v>
      </c>
      <c r="T50" s="3">
        <f t="shared" si="24"/>
        <v>0</v>
      </c>
      <c r="U50" s="4">
        <f t="shared" ca="1" si="22"/>
        <v>0</v>
      </c>
      <c r="V50" s="5"/>
      <c r="W50" s="6">
        <f t="shared" si="25"/>
        <v>0</v>
      </c>
      <c r="X50" s="7">
        <f t="shared" si="23"/>
        <v>0</v>
      </c>
      <c r="Y50" s="134"/>
      <c r="Z50" s="135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7"/>
      <c r="AL50" s="135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7"/>
      <c r="AX50" s="16"/>
      <c r="AY50" s="138">
        <v>0</v>
      </c>
      <c r="AZ50" s="8">
        <f t="shared" si="16"/>
        <v>0</v>
      </c>
      <c r="BA50" s="139">
        <v>0</v>
      </c>
      <c r="BB50" s="9" t="e">
        <f t="shared" si="11"/>
        <v>#REF!</v>
      </c>
      <c r="BC50" s="10" t="e">
        <f t="shared" si="17"/>
        <v>#REF!</v>
      </c>
      <c r="BD50" s="11" t="e">
        <f t="shared" si="12"/>
        <v>#REF!</v>
      </c>
      <c r="BF50" s="701" t="e">
        <f t="shared" si="18"/>
        <v>#REF!</v>
      </c>
      <c r="BG50" s="702"/>
      <c r="BH50" s="12" t="e">
        <f t="shared" si="19"/>
        <v>#REF!</v>
      </c>
      <c r="BI50" s="703" t="e">
        <f t="shared" si="20"/>
        <v>#REF!</v>
      </c>
      <c r="BJ50" s="704"/>
      <c r="BK50" s="705" t="e">
        <f>IF(BR50&gt;0,CHOOSE(MATCH(RegimeExecucao,{"Unitário","Global"},0),IF($A50="S",BR50/BN50,""),(BR50/BN50)*100),"")</f>
        <v>#REF!</v>
      </c>
      <c r="BL50" s="706"/>
      <c r="BM50" s="707"/>
      <c r="BN50" s="708" t="e">
        <f>IF(BR50&gt;0,CHOOSE(MATCH(RegimeExecucao,{"Unitário","Global"},0),IF($A50="S",ROUND(P50,arredunit),""),ROUND(R50,arredtot)),"")</f>
        <v>#REF!</v>
      </c>
      <c r="BO50" s="709"/>
      <c r="BP50" s="709"/>
      <c r="BQ50" s="710"/>
      <c r="BR50" s="708" t="e">
        <f t="shared" si="1"/>
        <v>#REF!</v>
      </c>
      <c r="BS50" s="709"/>
      <c r="BT50" s="709"/>
      <c r="BU50" s="710"/>
      <c r="BV50" s="711"/>
      <c r="BW50" s="711"/>
      <c r="BX50" s="711"/>
      <c r="BY50" s="711"/>
      <c r="BZ50" s="711"/>
      <c r="CA50" s="712"/>
      <c r="CB50" s="16"/>
      <c r="CC50" s="16"/>
    </row>
    <row r="51" spans="1:81">
      <c r="A51" s="59">
        <f t="shared" si="13"/>
        <v>1</v>
      </c>
      <c r="B51" s="59">
        <f t="shared" ca="1" si="14"/>
        <v>11</v>
      </c>
      <c r="C51" s="59">
        <f t="shared" ca="1" si="2"/>
        <v>8</v>
      </c>
      <c r="D51" s="59">
        <f t="shared" ca="1" si="3"/>
        <v>0</v>
      </c>
      <c r="E51" s="59">
        <f t="shared" ca="1" si="4"/>
        <v>0</v>
      </c>
      <c r="F51" s="59">
        <f t="shared" ca="1" si="5"/>
        <v>0</v>
      </c>
      <c r="G51" s="59">
        <f t="shared" ca="1" si="6"/>
        <v>0</v>
      </c>
      <c r="H51" s="59">
        <f t="shared" ca="1" si="7"/>
        <v>38</v>
      </c>
      <c r="I51" s="59">
        <f t="shared" ca="1" si="8"/>
        <v>11</v>
      </c>
      <c r="J51" s="59">
        <f t="shared" si="9"/>
        <v>0</v>
      </c>
      <c r="K51" s="127" t="str">
        <f>CHOOSE(1+LOG(1+2*($J51=3)+4*($J51=2)+8*($J51=1)+16*(AND($L51&lt;&gt;"",$L51&lt;&gt;0,$J51=0))+32*OR($N51&lt;&gt;"",RegimeExecucao="Global",AND($L51="",$M51="",$N51="")),2),"","Nível 4","Nível 3","Nível 2","Meta","Serviço")</f>
        <v>Meta</v>
      </c>
      <c r="L51" s="128">
        <v>8</v>
      </c>
      <c r="M51" s="129" t="s">
        <v>116</v>
      </c>
      <c r="N51" s="130"/>
      <c r="O51" s="131"/>
      <c r="P51" s="132"/>
      <c r="Q51" s="133">
        <f t="shared" si="15"/>
        <v>11285.48</v>
      </c>
      <c r="R51" s="1">
        <f>SUM(R52,R55)</f>
        <v>11285.48</v>
      </c>
      <c r="S51" s="2">
        <f t="shared" ca="1" si="10"/>
        <v>0</v>
      </c>
      <c r="T51" s="3">
        <f t="shared" si="24"/>
        <v>0</v>
      </c>
      <c r="U51" s="4">
        <f t="shared" ca="1" si="22"/>
        <v>0</v>
      </c>
      <c r="V51" s="1">
        <f>SUM(V52,V55)</f>
        <v>0</v>
      </c>
      <c r="W51" s="1">
        <f>SUM(W52,W55)</f>
        <v>3630.98</v>
      </c>
      <c r="X51" s="7">
        <f t="shared" si="23"/>
        <v>3630.98</v>
      </c>
      <c r="Y51" s="134"/>
      <c r="Z51" s="135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7"/>
      <c r="AL51" s="135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7"/>
      <c r="AX51" s="16"/>
      <c r="AY51" s="138">
        <v>0</v>
      </c>
      <c r="AZ51" s="8">
        <f t="shared" si="16"/>
        <v>0</v>
      </c>
      <c r="BA51" s="139">
        <v>0</v>
      </c>
      <c r="BB51" s="9" t="e">
        <f t="shared" ca="1" si="11"/>
        <v>#REF!</v>
      </c>
      <c r="BC51" s="10" t="e">
        <f t="shared" ca="1" si="17"/>
        <v>#REF!</v>
      </c>
      <c r="BD51" s="11" t="e">
        <f t="shared" ca="1" si="12"/>
        <v>#REF!</v>
      </c>
      <c r="BF51" s="701" t="e">
        <f t="shared" ca="1" si="18"/>
        <v>#REF!</v>
      </c>
      <c r="BG51" s="702"/>
      <c r="BH51" s="12" t="e">
        <f t="shared" ca="1" si="19"/>
        <v>#REF!</v>
      </c>
      <c r="BI51" s="703" t="e">
        <f t="shared" ca="1" si="20"/>
        <v>#REF!</v>
      </c>
      <c r="BJ51" s="704"/>
      <c r="BK51" s="705" t="e">
        <f ca="1">IF(BR51&gt;0,CHOOSE(MATCH(RegimeExecucao,{"Unitário","Global"},0),IF($A51="S",BR51/BN51,""),(BR51/BN51)*100),"")</f>
        <v>#REF!</v>
      </c>
      <c r="BL51" s="706"/>
      <c r="BM51" s="707"/>
      <c r="BN51" s="708" t="e">
        <f ca="1">IF(BR51&gt;0,CHOOSE(MATCH(RegimeExecucao,{"Unitário","Global"},0),IF($A51="S",ROUND(P51,arredunit),""),ROUND(R51,arredtot)),"")</f>
        <v>#REF!</v>
      </c>
      <c r="BO51" s="709"/>
      <c r="BP51" s="709"/>
      <c r="BQ51" s="710"/>
      <c r="BR51" s="708" t="e">
        <f t="shared" ca="1" si="1"/>
        <v>#REF!</v>
      </c>
      <c r="BS51" s="709"/>
      <c r="BT51" s="709"/>
      <c r="BU51" s="710"/>
      <c r="BV51" s="711"/>
      <c r="BW51" s="711"/>
      <c r="BX51" s="711"/>
      <c r="BY51" s="711"/>
      <c r="BZ51" s="711"/>
      <c r="CA51" s="712"/>
      <c r="CB51" s="16"/>
      <c r="CC51" s="16"/>
    </row>
    <row r="52" spans="1:81">
      <c r="A52" s="59">
        <f t="shared" si="13"/>
        <v>2</v>
      </c>
      <c r="B52" s="59">
        <f t="shared" ca="1" si="14"/>
        <v>3</v>
      </c>
      <c r="C52" s="59">
        <f t="shared" ca="1" si="2"/>
        <v>8</v>
      </c>
      <c r="D52" s="59">
        <f t="shared" ca="1" si="3"/>
        <v>1</v>
      </c>
      <c r="E52" s="59">
        <f t="shared" ca="1" si="4"/>
        <v>0</v>
      </c>
      <c r="F52" s="59">
        <f t="shared" ca="1" si="5"/>
        <v>0</v>
      </c>
      <c r="G52" s="59">
        <f t="shared" ca="1" si="6"/>
        <v>0</v>
      </c>
      <c r="H52" s="59">
        <f t="shared" ca="1" si="7"/>
        <v>10</v>
      </c>
      <c r="I52" s="59">
        <f t="shared" ca="1" si="8"/>
        <v>3</v>
      </c>
      <c r="J52" s="59">
        <f t="shared" si="9"/>
        <v>1</v>
      </c>
      <c r="K52" s="127" t="str">
        <f>CHOOSE(1+LOG(1+2*($J52=3)+4*($J52=2)+8*($J52=1)+16*(AND($L52&lt;&gt;"",$L52&lt;&gt;0,$J52=0))+32*OR($N52&lt;&gt;"",RegimeExecucao="Global",AND($L52="",$M52="",$N52="")),2),"","Nível 4","Nível 3","Nível 2","Meta","Serviço")</f>
        <v>Nível 2</v>
      </c>
      <c r="L52" s="165" t="s">
        <v>117</v>
      </c>
      <c r="M52" s="129" t="s">
        <v>118</v>
      </c>
      <c r="N52" s="130"/>
      <c r="O52" s="131"/>
      <c r="P52" s="132"/>
      <c r="Q52" s="133">
        <f t="shared" si="15"/>
        <v>7261.2800000000007</v>
      </c>
      <c r="R52" s="1">
        <f>SUM(R53:R54)</f>
        <v>7261.2800000000007</v>
      </c>
      <c r="S52" s="2">
        <f t="shared" ca="1" si="10"/>
        <v>0</v>
      </c>
      <c r="T52" s="3">
        <f t="shared" si="24"/>
        <v>0</v>
      </c>
      <c r="U52" s="4">
        <f t="shared" ca="1" si="22"/>
        <v>0</v>
      </c>
      <c r="V52" s="1">
        <f>SUM(V53:V54)</f>
        <v>0</v>
      </c>
      <c r="W52" s="1">
        <f>SUM(W53:W54)</f>
        <v>0</v>
      </c>
      <c r="X52" s="7">
        <f t="shared" si="23"/>
        <v>0</v>
      </c>
      <c r="Y52" s="134"/>
      <c r="Z52" s="135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7"/>
      <c r="AL52" s="135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7"/>
      <c r="AX52" s="16"/>
      <c r="AY52" s="138">
        <v>0</v>
      </c>
      <c r="AZ52" s="8">
        <f t="shared" si="16"/>
        <v>0</v>
      </c>
      <c r="BA52" s="139">
        <v>0</v>
      </c>
      <c r="BB52" s="9" t="e">
        <f t="shared" ca="1" si="11"/>
        <v>#REF!</v>
      </c>
      <c r="BC52" s="10" t="e">
        <f t="shared" ca="1" si="17"/>
        <v>#REF!</v>
      </c>
      <c r="BD52" s="11" t="e">
        <f t="shared" ca="1" si="12"/>
        <v>#REF!</v>
      </c>
      <c r="BF52" s="701" t="e">
        <f t="shared" ca="1" si="18"/>
        <v>#REF!</v>
      </c>
      <c r="BG52" s="702"/>
      <c r="BH52" s="12" t="e">
        <f t="shared" ca="1" si="19"/>
        <v>#REF!</v>
      </c>
      <c r="BI52" s="703" t="e">
        <f t="shared" ca="1" si="20"/>
        <v>#REF!</v>
      </c>
      <c r="BJ52" s="704"/>
      <c r="BK52" s="705" t="e">
        <f ca="1">IF(BR52&gt;0,CHOOSE(MATCH(RegimeExecucao,{"Unitário","Global"},0),IF($A52="S",BR52/BN52,""),(BR52/BN52)*100),"")</f>
        <v>#REF!</v>
      </c>
      <c r="BL52" s="706"/>
      <c r="BM52" s="707"/>
      <c r="BN52" s="708" t="e">
        <f ca="1">IF(BR52&gt;0,CHOOSE(MATCH(RegimeExecucao,{"Unitário","Global"},0),IF($A52="S",ROUND(P52,arredunit),""),ROUND(R52,arredtot)),"")</f>
        <v>#REF!</v>
      </c>
      <c r="BO52" s="709"/>
      <c r="BP52" s="709"/>
      <c r="BQ52" s="710"/>
      <c r="BR52" s="708" t="e">
        <f t="shared" ca="1" si="1"/>
        <v>#REF!</v>
      </c>
      <c r="BS52" s="709"/>
      <c r="BT52" s="709"/>
      <c r="BU52" s="710"/>
      <c r="BV52" s="711"/>
      <c r="BW52" s="711"/>
      <c r="BX52" s="711"/>
      <c r="BY52" s="711"/>
      <c r="BZ52" s="711"/>
      <c r="CA52" s="712"/>
      <c r="CB52" s="16"/>
      <c r="CC52" s="16"/>
    </row>
    <row r="53" spans="1:81" ht="39.6">
      <c r="A53" s="59" t="str">
        <f t="shared" si="13"/>
        <v>S</v>
      </c>
      <c r="B53" s="59">
        <f t="shared" si="14"/>
        <v>0</v>
      </c>
      <c r="C53" s="59">
        <f t="shared" ca="1" si="2"/>
        <v>8</v>
      </c>
      <c r="D53" s="59">
        <f t="shared" ca="1" si="3"/>
        <v>1</v>
      </c>
      <c r="E53" s="59">
        <f t="shared" ca="1" si="4"/>
        <v>0</v>
      </c>
      <c r="F53" s="59">
        <f t="shared" ca="1" si="5"/>
        <v>0</v>
      </c>
      <c r="G53" s="59">
        <f t="shared" ca="1" si="6"/>
        <v>1</v>
      </c>
      <c r="H53" s="59">
        <f t="shared" ca="1" si="7"/>
        <v>0</v>
      </c>
      <c r="I53" s="59">
        <f t="shared" ca="1" si="8"/>
        <v>0</v>
      </c>
      <c r="J53" s="59">
        <f t="shared" si="9"/>
        <v>2</v>
      </c>
      <c r="K53" s="127" t="s">
        <v>4</v>
      </c>
      <c r="L53" s="165" t="s">
        <v>119</v>
      </c>
      <c r="M53" s="129" t="s">
        <v>120</v>
      </c>
      <c r="N53" s="130" t="s">
        <v>43</v>
      </c>
      <c r="O53" s="131">
        <v>199</v>
      </c>
      <c r="P53" s="132">
        <v>3.8387437185929647</v>
      </c>
      <c r="Q53" s="133">
        <f t="shared" si="15"/>
        <v>0</v>
      </c>
      <c r="R53" s="1">
        <f t="shared" si="21"/>
        <v>763.91</v>
      </c>
      <c r="S53" s="2">
        <f t="shared" ca="1" si="10"/>
        <v>0</v>
      </c>
      <c r="T53" s="3">
        <f t="shared" si="24"/>
        <v>0</v>
      </c>
      <c r="U53" s="4">
        <f t="shared" ca="1" si="22"/>
        <v>0</v>
      </c>
      <c r="V53" s="5"/>
      <c r="W53" s="6">
        <f t="shared" si="25"/>
        <v>0</v>
      </c>
      <c r="X53" s="7">
        <f t="shared" si="23"/>
        <v>0</v>
      </c>
      <c r="Y53" s="134"/>
      <c r="Z53" s="135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7"/>
      <c r="AL53" s="135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7"/>
      <c r="AX53" s="16"/>
      <c r="AY53" s="138">
        <v>0</v>
      </c>
      <c r="AZ53" s="8">
        <f t="shared" si="16"/>
        <v>0</v>
      </c>
      <c r="BA53" s="139">
        <v>0</v>
      </c>
      <c r="BB53" s="9" t="e">
        <f t="shared" si="11"/>
        <v>#REF!</v>
      </c>
      <c r="BC53" s="10" t="e">
        <f t="shared" si="17"/>
        <v>#REF!</v>
      </c>
      <c r="BD53" s="11" t="e">
        <f t="shared" si="12"/>
        <v>#REF!</v>
      </c>
      <c r="BF53" s="701" t="e">
        <f t="shared" si="18"/>
        <v>#REF!</v>
      </c>
      <c r="BG53" s="702"/>
      <c r="BH53" s="12" t="e">
        <f t="shared" si="19"/>
        <v>#REF!</v>
      </c>
      <c r="BI53" s="703" t="e">
        <f t="shared" si="20"/>
        <v>#REF!</v>
      </c>
      <c r="BJ53" s="704"/>
      <c r="BK53" s="705" t="e">
        <f>IF(BR53&gt;0,CHOOSE(MATCH(RegimeExecucao,{"Unitário","Global"},0),IF($A53="S",BR53/BN53,""),(BR53/BN53)*100),"")</f>
        <v>#REF!</v>
      </c>
      <c r="BL53" s="706"/>
      <c r="BM53" s="707"/>
      <c r="BN53" s="708" t="e">
        <f>IF(BR53&gt;0,CHOOSE(MATCH(RegimeExecucao,{"Unitário","Global"},0),IF($A53="S",ROUND(P53,arredunit),""),ROUND(R53,arredtot)),"")</f>
        <v>#REF!</v>
      </c>
      <c r="BO53" s="709"/>
      <c r="BP53" s="709"/>
      <c r="BQ53" s="710"/>
      <c r="BR53" s="708" t="e">
        <f t="shared" si="1"/>
        <v>#REF!</v>
      </c>
      <c r="BS53" s="709"/>
      <c r="BT53" s="709"/>
      <c r="BU53" s="710"/>
      <c r="BV53" s="711"/>
      <c r="BW53" s="711"/>
      <c r="BX53" s="711"/>
      <c r="BY53" s="711"/>
      <c r="BZ53" s="711"/>
      <c r="CA53" s="712"/>
      <c r="CB53" s="16"/>
      <c r="CC53" s="16"/>
    </row>
    <row r="54" spans="1:81" ht="52.8">
      <c r="A54" s="59" t="str">
        <f t="shared" si="13"/>
        <v>S</v>
      </c>
      <c r="B54" s="59">
        <f t="shared" si="14"/>
        <v>0</v>
      </c>
      <c r="C54" s="59">
        <f t="shared" ca="1" si="2"/>
        <v>8</v>
      </c>
      <c r="D54" s="59">
        <f t="shared" ca="1" si="3"/>
        <v>1</v>
      </c>
      <c r="E54" s="59">
        <f t="shared" ca="1" si="4"/>
        <v>0</v>
      </c>
      <c r="F54" s="59">
        <f t="shared" ca="1" si="5"/>
        <v>0</v>
      </c>
      <c r="G54" s="59">
        <f t="shared" ca="1" si="6"/>
        <v>2</v>
      </c>
      <c r="H54" s="59">
        <f t="shared" ca="1" si="7"/>
        <v>0</v>
      </c>
      <c r="I54" s="59">
        <f t="shared" ca="1" si="8"/>
        <v>0</v>
      </c>
      <c r="J54" s="59">
        <f t="shared" si="9"/>
        <v>2</v>
      </c>
      <c r="K54" s="127" t="s">
        <v>4</v>
      </c>
      <c r="L54" s="165" t="s">
        <v>121</v>
      </c>
      <c r="M54" s="129" t="s">
        <v>122</v>
      </c>
      <c r="N54" s="130" t="s">
        <v>43</v>
      </c>
      <c r="O54" s="131">
        <v>199</v>
      </c>
      <c r="P54" s="132">
        <v>32.650100502512565</v>
      </c>
      <c r="Q54" s="133">
        <f t="shared" si="15"/>
        <v>0</v>
      </c>
      <c r="R54" s="1">
        <f t="shared" si="21"/>
        <v>6497.3700000000008</v>
      </c>
      <c r="S54" s="2">
        <f t="shared" ca="1" si="10"/>
        <v>0</v>
      </c>
      <c r="T54" s="3">
        <f t="shared" si="24"/>
        <v>0</v>
      </c>
      <c r="U54" s="4">
        <f t="shared" ca="1" si="22"/>
        <v>0</v>
      </c>
      <c r="V54" s="5"/>
      <c r="W54" s="6">
        <f t="shared" si="25"/>
        <v>0</v>
      </c>
      <c r="X54" s="7">
        <f t="shared" si="23"/>
        <v>0</v>
      </c>
      <c r="Y54" s="134"/>
      <c r="Z54" s="135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7"/>
      <c r="AL54" s="135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7"/>
      <c r="AX54" s="16"/>
      <c r="AY54" s="138">
        <v>0</v>
      </c>
      <c r="AZ54" s="8">
        <f t="shared" si="16"/>
        <v>0</v>
      </c>
      <c r="BA54" s="139">
        <v>0</v>
      </c>
      <c r="BB54" s="9" t="e">
        <f t="shared" si="11"/>
        <v>#REF!</v>
      </c>
      <c r="BC54" s="10" t="e">
        <f t="shared" si="17"/>
        <v>#REF!</v>
      </c>
      <c r="BD54" s="11" t="e">
        <f t="shared" si="12"/>
        <v>#REF!</v>
      </c>
      <c r="BF54" s="701" t="e">
        <f t="shared" si="18"/>
        <v>#REF!</v>
      </c>
      <c r="BG54" s="702"/>
      <c r="BH54" s="12" t="e">
        <f t="shared" si="19"/>
        <v>#REF!</v>
      </c>
      <c r="BI54" s="703" t="e">
        <f t="shared" si="20"/>
        <v>#REF!</v>
      </c>
      <c r="BJ54" s="704"/>
      <c r="BK54" s="705" t="e">
        <f>IF(BR54&gt;0,CHOOSE(MATCH(RegimeExecucao,{"Unitário","Global"},0),IF($A54="S",BR54/BN54,""),(BR54/BN54)*100),"")</f>
        <v>#REF!</v>
      </c>
      <c r="BL54" s="706"/>
      <c r="BM54" s="707"/>
      <c r="BN54" s="708" t="e">
        <f>IF(BR54&gt;0,CHOOSE(MATCH(RegimeExecucao,{"Unitário","Global"},0),IF($A54="S",ROUND(P54,arredunit),""),ROUND(R54,arredtot)),"")</f>
        <v>#REF!</v>
      </c>
      <c r="BO54" s="709"/>
      <c r="BP54" s="709"/>
      <c r="BQ54" s="710"/>
      <c r="BR54" s="708" t="e">
        <f t="shared" si="1"/>
        <v>#REF!</v>
      </c>
      <c r="BS54" s="709"/>
      <c r="BT54" s="709"/>
      <c r="BU54" s="710"/>
      <c r="BV54" s="711"/>
      <c r="BW54" s="711"/>
      <c r="BX54" s="711"/>
      <c r="BY54" s="711"/>
      <c r="BZ54" s="711"/>
      <c r="CA54" s="712"/>
      <c r="CB54" s="16"/>
      <c r="CC54" s="16"/>
    </row>
    <row r="55" spans="1:81">
      <c r="A55" s="59">
        <f t="shared" si="13"/>
        <v>2</v>
      </c>
      <c r="B55" s="59">
        <f t="shared" ca="1" si="14"/>
        <v>7</v>
      </c>
      <c r="C55" s="59">
        <f t="shared" ca="1" si="2"/>
        <v>8</v>
      </c>
      <c r="D55" s="59">
        <f t="shared" ca="1" si="3"/>
        <v>2</v>
      </c>
      <c r="E55" s="59">
        <f t="shared" ca="1" si="4"/>
        <v>0</v>
      </c>
      <c r="F55" s="59">
        <f t="shared" ca="1" si="5"/>
        <v>0</v>
      </c>
      <c r="G55" s="59">
        <f t="shared" ca="1" si="6"/>
        <v>0</v>
      </c>
      <c r="H55" s="59">
        <f t="shared" ca="1" si="7"/>
        <v>7</v>
      </c>
      <c r="I55" s="59" t="e">
        <f t="shared" ca="1" si="8"/>
        <v>#N/A</v>
      </c>
      <c r="J55" s="59">
        <f t="shared" si="9"/>
        <v>1</v>
      </c>
      <c r="K55" s="127" t="str">
        <f>CHOOSE(1+LOG(1+2*($J55=3)+4*($J55=2)+8*($J55=1)+16*(AND($L55&lt;&gt;"",$L55&lt;&gt;0,$J55=0))+32*OR($N55&lt;&gt;"",RegimeExecucao="Global",AND($L55="",$M55="",$N55="")),2),"","Nível 4","Nível 3","Nível 2","Meta","Serviço")</f>
        <v>Nível 2</v>
      </c>
      <c r="L55" s="165" t="s">
        <v>123</v>
      </c>
      <c r="M55" s="129" t="s">
        <v>124</v>
      </c>
      <c r="N55" s="130"/>
      <c r="O55" s="131"/>
      <c r="P55" s="132"/>
      <c r="Q55" s="133">
        <f t="shared" si="15"/>
        <v>4024.2</v>
      </c>
      <c r="R55" s="1">
        <f>SUM(R56:R61)</f>
        <v>4024.2</v>
      </c>
      <c r="S55" s="2">
        <f t="shared" ca="1" si="10"/>
        <v>0</v>
      </c>
      <c r="T55" s="3">
        <f t="shared" si="24"/>
        <v>0</v>
      </c>
      <c r="U55" s="4">
        <f t="shared" ca="1" si="22"/>
        <v>0</v>
      </c>
      <c r="V55" s="1">
        <f>SUM(V56:V61)</f>
        <v>0</v>
      </c>
      <c r="W55" s="1">
        <f>SUM(W56:W61)</f>
        <v>3630.98</v>
      </c>
      <c r="X55" s="7">
        <f t="shared" si="23"/>
        <v>3630.98</v>
      </c>
      <c r="Y55" s="134"/>
      <c r="Z55" s="135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7"/>
      <c r="AL55" s="135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7"/>
      <c r="AX55" s="16"/>
      <c r="AY55" s="138">
        <v>0</v>
      </c>
      <c r="AZ55" s="8">
        <f t="shared" si="16"/>
        <v>0</v>
      </c>
      <c r="BA55" s="139">
        <v>0</v>
      </c>
      <c r="BB55" s="9" t="e">
        <f t="shared" ca="1" si="11"/>
        <v>#REF!</v>
      </c>
      <c r="BC55" s="10" t="e">
        <f t="shared" ca="1" si="17"/>
        <v>#REF!</v>
      </c>
      <c r="BD55" s="11" t="e">
        <f t="shared" ca="1" si="12"/>
        <v>#REF!</v>
      </c>
      <c r="BF55" s="701" t="e">
        <f t="shared" ca="1" si="18"/>
        <v>#REF!</v>
      </c>
      <c r="BG55" s="702"/>
      <c r="BH55" s="12" t="e">
        <f t="shared" ca="1" si="19"/>
        <v>#REF!</v>
      </c>
      <c r="BI55" s="703" t="e">
        <f t="shared" ca="1" si="20"/>
        <v>#REF!</v>
      </c>
      <c r="BJ55" s="704"/>
      <c r="BK55" s="705" t="e">
        <f ca="1">IF(BR55&gt;0,CHOOSE(MATCH(RegimeExecucao,{"Unitário","Global"},0),IF($A55="S",BR55/BN55,""),(BR55/BN55)*100),"")</f>
        <v>#REF!</v>
      </c>
      <c r="BL55" s="706"/>
      <c r="BM55" s="707"/>
      <c r="BN55" s="708" t="e">
        <f ca="1">IF(BR55&gt;0,CHOOSE(MATCH(RegimeExecucao,{"Unitário","Global"},0),IF($A55="S",ROUND(P55,arredunit),""),ROUND(R55,arredtot)),"")</f>
        <v>#REF!</v>
      </c>
      <c r="BO55" s="709"/>
      <c r="BP55" s="709"/>
      <c r="BQ55" s="710"/>
      <c r="BR55" s="708" t="e">
        <f t="shared" ca="1" si="1"/>
        <v>#REF!</v>
      </c>
      <c r="BS55" s="709"/>
      <c r="BT55" s="709"/>
      <c r="BU55" s="710"/>
      <c r="BV55" s="711"/>
      <c r="BW55" s="711"/>
      <c r="BX55" s="711"/>
      <c r="BY55" s="711"/>
      <c r="BZ55" s="711"/>
      <c r="CA55" s="712"/>
      <c r="CB55" s="16"/>
      <c r="CC55" s="16"/>
    </row>
    <row r="56" spans="1:81" ht="39.6">
      <c r="A56" s="59" t="str">
        <f t="shared" si="13"/>
        <v>S</v>
      </c>
      <c r="B56" s="59">
        <f t="shared" si="14"/>
        <v>0</v>
      </c>
      <c r="C56" s="59">
        <f t="shared" ca="1" si="2"/>
        <v>8</v>
      </c>
      <c r="D56" s="59">
        <f t="shared" ca="1" si="3"/>
        <v>2</v>
      </c>
      <c r="E56" s="59">
        <f t="shared" ca="1" si="4"/>
        <v>0</v>
      </c>
      <c r="F56" s="59">
        <f t="shared" ca="1" si="5"/>
        <v>0</v>
      </c>
      <c r="G56" s="59">
        <f t="shared" ca="1" si="6"/>
        <v>1</v>
      </c>
      <c r="H56" s="59">
        <f t="shared" ca="1" si="7"/>
        <v>0</v>
      </c>
      <c r="I56" s="59">
        <f t="shared" ca="1" si="8"/>
        <v>0</v>
      </c>
      <c r="J56" s="59">
        <f t="shared" si="9"/>
        <v>2</v>
      </c>
      <c r="K56" s="127" t="s">
        <v>4</v>
      </c>
      <c r="L56" s="165" t="s">
        <v>125</v>
      </c>
      <c r="M56" s="129" t="s">
        <v>126</v>
      </c>
      <c r="N56" s="130" t="s">
        <v>43</v>
      </c>
      <c r="O56" s="131">
        <v>27.000975881778892</v>
      </c>
      <c r="P56" s="132">
        <v>71.73</v>
      </c>
      <c r="Q56" s="133">
        <f t="shared" si="15"/>
        <v>0</v>
      </c>
      <c r="R56" s="1">
        <f t="shared" si="21"/>
        <v>1936.78</v>
      </c>
      <c r="S56" s="2">
        <f t="shared" ca="1" si="10"/>
        <v>0</v>
      </c>
      <c r="T56" s="3">
        <f t="shared" si="24"/>
        <v>27</v>
      </c>
      <c r="U56" s="4">
        <f t="shared" ca="1" si="22"/>
        <v>27</v>
      </c>
      <c r="V56" s="5"/>
      <c r="W56" s="6">
        <f t="shared" si="25"/>
        <v>1936.78</v>
      </c>
      <c r="X56" s="7">
        <f t="shared" si="23"/>
        <v>1936.78</v>
      </c>
      <c r="Y56" s="134"/>
      <c r="Z56" s="135">
        <v>27</v>
      </c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7"/>
      <c r="AL56" s="135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7"/>
      <c r="AX56" s="16"/>
      <c r="AY56" s="138">
        <v>0</v>
      </c>
      <c r="AZ56" s="8">
        <f t="shared" si="16"/>
        <v>0</v>
      </c>
      <c r="BA56" s="139">
        <v>0</v>
      </c>
      <c r="BB56" s="9" t="e">
        <f t="shared" si="11"/>
        <v>#REF!</v>
      </c>
      <c r="BC56" s="10" t="e">
        <f t="shared" si="17"/>
        <v>#REF!</v>
      </c>
      <c r="BD56" s="11" t="e">
        <f t="shared" si="12"/>
        <v>#REF!</v>
      </c>
      <c r="BF56" s="701" t="e">
        <f t="shared" si="18"/>
        <v>#REF!</v>
      </c>
      <c r="BG56" s="702"/>
      <c r="BH56" s="12" t="e">
        <f t="shared" si="19"/>
        <v>#REF!</v>
      </c>
      <c r="BI56" s="703" t="e">
        <f t="shared" si="20"/>
        <v>#REF!</v>
      </c>
      <c r="BJ56" s="704"/>
      <c r="BK56" s="705" t="e">
        <f>IF(BR56&gt;0,CHOOSE(MATCH(RegimeExecucao,{"Unitário","Global"},0),IF($A56="S",BR56/BN56,""),(BR56/BN56)*100),"")</f>
        <v>#REF!</v>
      </c>
      <c r="BL56" s="706"/>
      <c r="BM56" s="707"/>
      <c r="BN56" s="708" t="e">
        <f>IF(BR56&gt;0,CHOOSE(MATCH(RegimeExecucao,{"Unitário","Global"},0),IF($A56="S",ROUND(P56,arredunit),""),ROUND(R56,arredtot)),"")</f>
        <v>#REF!</v>
      </c>
      <c r="BO56" s="709"/>
      <c r="BP56" s="709"/>
      <c r="BQ56" s="710"/>
      <c r="BR56" s="708" t="e">
        <f t="shared" si="1"/>
        <v>#REF!</v>
      </c>
      <c r="BS56" s="709"/>
      <c r="BT56" s="709"/>
      <c r="BU56" s="710"/>
      <c r="BV56" s="711"/>
      <c r="BW56" s="711"/>
      <c r="BX56" s="711"/>
      <c r="BY56" s="711"/>
      <c r="BZ56" s="711"/>
      <c r="CA56" s="712"/>
      <c r="CB56" s="16"/>
      <c r="CC56" s="16"/>
    </row>
    <row r="57" spans="1:81" ht="26.4">
      <c r="A57" s="59" t="str">
        <f t="shared" si="13"/>
        <v>S</v>
      </c>
      <c r="B57" s="59">
        <f t="shared" si="14"/>
        <v>0</v>
      </c>
      <c r="C57" s="59">
        <f t="shared" ca="1" si="2"/>
        <v>8</v>
      </c>
      <c r="D57" s="59">
        <f t="shared" ca="1" si="3"/>
        <v>2</v>
      </c>
      <c r="E57" s="59">
        <f t="shared" ca="1" si="4"/>
        <v>0</v>
      </c>
      <c r="F57" s="59">
        <f t="shared" ca="1" si="5"/>
        <v>0</v>
      </c>
      <c r="G57" s="59">
        <f t="shared" ca="1" si="6"/>
        <v>2</v>
      </c>
      <c r="H57" s="59">
        <f t="shared" ca="1" si="7"/>
        <v>0</v>
      </c>
      <c r="I57" s="59">
        <f t="shared" ca="1" si="8"/>
        <v>0</v>
      </c>
      <c r="J57" s="59">
        <f t="shared" si="9"/>
        <v>2</v>
      </c>
      <c r="K57" s="127" t="s">
        <v>4</v>
      </c>
      <c r="L57" s="165" t="s">
        <v>127</v>
      </c>
      <c r="M57" s="129" t="s">
        <v>128</v>
      </c>
      <c r="N57" s="130" t="s">
        <v>43</v>
      </c>
      <c r="O57" s="131">
        <v>27</v>
      </c>
      <c r="P57" s="132">
        <v>3.1022222222222222</v>
      </c>
      <c r="Q57" s="133">
        <f t="shared" si="15"/>
        <v>0</v>
      </c>
      <c r="R57" s="1">
        <f t="shared" si="21"/>
        <v>83.76</v>
      </c>
      <c r="S57" s="2">
        <f t="shared" ca="1" si="10"/>
        <v>0</v>
      </c>
      <c r="T57" s="3">
        <f t="shared" si="24"/>
        <v>27</v>
      </c>
      <c r="U57" s="4">
        <f t="shared" ca="1" si="22"/>
        <v>27</v>
      </c>
      <c r="V57" s="5"/>
      <c r="W57" s="6">
        <f t="shared" si="25"/>
        <v>83.76</v>
      </c>
      <c r="X57" s="7">
        <f t="shared" si="23"/>
        <v>83.76</v>
      </c>
      <c r="Y57" s="134"/>
      <c r="Z57" s="135">
        <v>27</v>
      </c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7"/>
      <c r="AL57" s="135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7"/>
      <c r="AX57" s="16"/>
      <c r="AY57" s="138">
        <v>0</v>
      </c>
      <c r="AZ57" s="8">
        <f t="shared" si="16"/>
        <v>0</v>
      </c>
      <c r="BA57" s="139">
        <v>0</v>
      </c>
      <c r="BB57" s="9" t="e">
        <f t="shared" si="11"/>
        <v>#REF!</v>
      </c>
      <c r="BC57" s="10" t="e">
        <f t="shared" si="17"/>
        <v>#REF!</v>
      </c>
      <c r="BD57" s="11" t="e">
        <f t="shared" si="12"/>
        <v>#REF!</v>
      </c>
      <c r="BF57" s="701" t="e">
        <f t="shared" si="18"/>
        <v>#REF!</v>
      </c>
      <c r="BG57" s="702"/>
      <c r="BH57" s="12" t="e">
        <f t="shared" si="19"/>
        <v>#REF!</v>
      </c>
      <c r="BI57" s="703" t="e">
        <f t="shared" si="20"/>
        <v>#REF!</v>
      </c>
      <c r="BJ57" s="704"/>
      <c r="BK57" s="705" t="e">
        <f>IF(BR57&gt;0,CHOOSE(MATCH(RegimeExecucao,{"Unitário","Global"},0),IF($A57="S",BR57/BN57,""),(BR57/BN57)*100),"")</f>
        <v>#REF!</v>
      </c>
      <c r="BL57" s="706"/>
      <c r="BM57" s="707"/>
      <c r="BN57" s="708" t="e">
        <f>IF(BR57&gt;0,CHOOSE(MATCH(RegimeExecucao,{"Unitário","Global"},0),IF($A57="S",ROUND(P57,arredunit),""),ROUND(R57,arredtot)),"")</f>
        <v>#REF!</v>
      </c>
      <c r="BO57" s="709"/>
      <c r="BP57" s="709"/>
      <c r="BQ57" s="710"/>
      <c r="BR57" s="708" t="e">
        <f t="shared" si="1"/>
        <v>#REF!</v>
      </c>
      <c r="BS57" s="709"/>
      <c r="BT57" s="709"/>
      <c r="BU57" s="710"/>
      <c r="BV57" s="711"/>
      <c r="BW57" s="711"/>
      <c r="BX57" s="711"/>
      <c r="BY57" s="711"/>
      <c r="BZ57" s="711"/>
      <c r="CA57" s="712"/>
      <c r="CB57" s="16"/>
      <c r="CC57" s="16"/>
    </row>
    <row r="58" spans="1:81" ht="26.4">
      <c r="A58" s="59" t="str">
        <f t="shared" si="13"/>
        <v>S</v>
      </c>
      <c r="B58" s="59">
        <f t="shared" si="14"/>
        <v>0</v>
      </c>
      <c r="C58" s="59">
        <f t="shared" ca="1" si="2"/>
        <v>8</v>
      </c>
      <c r="D58" s="59">
        <f t="shared" ca="1" si="3"/>
        <v>2</v>
      </c>
      <c r="E58" s="59">
        <f t="shared" ca="1" si="4"/>
        <v>0</v>
      </c>
      <c r="F58" s="59">
        <f t="shared" ca="1" si="5"/>
        <v>0</v>
      </c>
      <c r="G58" s="59">
        <f t="shared" ca="1" si="6"/>
        <v>3</v>
      </c>
      <c r="H58" s="59">
        <f t="shared" ca="1" si="7"/>
        <v>0</v>
      </c>
      <c r="I58" s="59">
        <f t="shared" ca="1" si="8"/>
        <v>0</v>
      </c>
      <c r="J58" s="59">
        <f t="shared" si="9"/>
        <v>2</v>
      </c>
      <c r="K58" s="127" t="s">
        <v>4</v>
      </c>
      <c r="L58" s="165" t="s">
        <v>129</v>
      </c>
      <c r="M58" s="129" t="s">
        <v>130</v>
      </c>
      <c r="N58" s="130" t="s">
        <v>43</v>
      </c>
      <c r="O58" s="131">
        <v>27</v>
      </c>
      <c r="P58" s="132">
        <v>21.237777777777779</v>
      </c>
      <c r="Q58" s="133">
        <f t="shared" si="15"/>
        <v>0</v>
      </c>
      <c r="R58" s="1">
        <f t="shared" si="21"/>
        <v>573.42000000000007</v>
      </c>
      <c r="S58" s="2">
        <f t="shared" ca="1" si="10"/>
        <v>0</v>
      </c>
      <c r="T58" s="3">
        <f t="shared" si="24"/>
        <v>27</v>
      </c>
      <c r="U58" s="4">
        <f t="shared" ca="1" si="22"/>
        <v>27</v>
      </c>
      <c r="V58" s="5"/>
      <c r="W58" s="6">
        <f t="shared" si="25"/>
        <v>573.42000000000007</v>
      </c>
      <c r="X58" s="7">
        <f t="shared" si="23"/>
        <v>573.42000000000007</v>
      </c>
      <c r="Y58" s="134"/>
      <c r="Z58" s="135">
        <v>27</v>
      </c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7"/>
      <c r="AL58" s="135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7"/>
      <c r="AX58" s="16"/>
      <c r="AY58" s="138">
        <v>0</v>
      </c>
      <c r="AZ58" s="8">
        <f t="shared" si="16"/>
        <v>0</v>
      </c>
      <c r="BA58" s="139">
        <v>0</v>
      </c>
      <c r="BB58" s="9" t="e">
        <f t="shared" si="11"/>
        <v>#REF!</v>
      </c>
      <c r="BC58" s="10" t="e">
        <f t="shared" si="17"/>
        <v>#REF!</v>
      </c>
      <c r="BD58" s="11" t="e">
        <f t="shared" si="12"/>
        <v>#REF!</v>
      </c>
      <c r="BF58" s="701" t="e">
        <f t="shared" si="18"/>
        <v>#REF!</v>
      </c>
      <c r="BG58" s="702"/>
      <c r="BH58" s="12" t="e">
        <f t="shared" si="19"/>
        <v>#REF!</v>
      </c>
      <c r="BI58" s="703" t="e">
        <f t="shared" si="20"/>
        <v>#REF!</v>
      </c>
      <c r="BJ58" s="704"/>
      <c r="BK58" s="705" t="e">
        <f>IF(BR58&gt;0,CHOOSE(MATCH(RegimeExecucao,{"Unitário","Global"},0),IF($A58="S",BR58/BN58,""),(BR58/BN58)*100),"")</f>
        <v>#REF!</v>
      </c>
      <c r="BL58" s="706"/>
      <c r="BM58" s="707"/>
      <c r="BN58" s="708" t="e">
        <f>IF(BR58&gt;0,CHOOSE(MATCH(RegimeExecucao,{"Unitário","Global"},0),IF($A58="S",ROUND(P58,arredunit),""),ROUND(R58,arredtot)),"")</f>
        <v>#REF!</v>
      </c>
      <c r="BO58" s="709"/>
      <c r="BP58" s="709"/>
      <c r="BQ58" s="710"/>
      <c r="BR58" s="708" t="e">
        <f t="shared" si="1"/>
        <v>#REF!</v>
      </c>
      <c r="BS58" s="709"/>
      <c r="BT58" s="709"/>
      <c r="BU58" s="710"/>
      <c r="BV58" s="711"/>
      <c r="BW58" s="711"/>
      <c r="BX58" s="711"/>
      <c r="BY58" s="711"/>
      <c r="BZ58" s="711"/>
      <c r="CA58" s="712"/>
      <c r="CB58" s="16"/>
      <c r="CC58" s="16"/>
    </row>
    <row r="59" spans="1:81" ht="39.6">
      <c r="A59" s="59" t="str">
        <f t="shared" si="13"/>
        <v>S</v>
      </c>
      <c r="B59" s="59">
        <f t="shared" si="14"/>
        <v>0</v>
      </c>
      <c r="C59" s="59">
        <f t="shared" ca="1" si="2"/>
        <v>8</v>
      </c>
      <c r="D59" s="59">
        <f t="shared" ca="1" si="3"/>
        <v>2</v>
      </c>
      <c r="E59" s="59">
        <f t="shared" ca="1" si="4"/>
        <v>0</v>
      </c>
      <c r="F59" s="59">
        <f t="shared" ca="1" si="5"/>
        <v>0</v>
      </c>
      <c r="G59" s="59">
        <f t="shared" ca="1" si="6"/>
        <v>4</v>
      </c>
      <c r="H59" s="59">
        <f t="shared" ca="1" si="7"/>
        <v>0</v>
      </c>
      <c r="I59" s="59">
        <f t="shared" ca="1" si="8"/>
        <v>0</v>
      </c>
      <c r="J59" s="59">
        <f t="shared" si="9"/>
        <v>2</v>
      </c>
      <c r="K59" s="127" t="s">
        <v>4</v>
      </c>
      <c r="L59" s="165" t="s">
        <v>131</v>
      </c>
      <c r="M59" s="129" t="s">
        <v>132</v>
      </c>
      <c r="N59" s="130" t="s">
        <v>59</v>
      </c>
      <c r="O59" s="131">
        <v>50</v>
      </c>
      <c r="P59" s="132">
        <v>5.4366000000000003</v>
      </c>
      <c r="Q59" s="133">
        <f t="shared" si="15"/>
        <v>0</v>
      </c>
      <c r="R59" s="1">
        <f t="shared" si="21"/>
        <v>271.83000000000004</v>
      </c>
      <c r="S59" s="2">
        <f t="shared" ca="1" si="10"/>
        <v>0</v>
      </c>
      <c r="T59" s="3">
        <f t="shared" si="24"/>
        <v>0</v>
      </c>
      <c r="U59" s="4">
        <f t="shared" ca="1" si="22"/>
        <v>0</v>
      </c>
      <c r="V59" s="5"/>
      <c r="W59" s="6">
        <f t="shared" si="25"/>
        <v>0</v>
      </c>
      <c r="X59" s="7">
        <f t="shared" si="23"/>
        <v>0</v>
      </c>
      <c r="Y59" s="134"/>
      <c r="Z59" s="135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7"/>
      <c r="AL59" s="135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7"/>
      <c r="AX59" s="16"/>
      <c r="AY59" s="138">
        <v>0</v>
      </c>
      <c r="AZ59" s="8">
        <f t="shared" si="16"/>
        <v>0</v>
      </c>
      <c r="BA59" s="139">
        <v>0</v>
      </c>
      <c r="BB59" s="9" t="e">
        <f t="shared" si="11"/>
        <v>#REF!</v>
      </c>
      <c r="BC59" s="10" t="e">
        <f t="shared" si="17"/>
        <v>#REF!</v>
      </c>
      <c r="BD59" s="11" t="e">
        <f t="shared" si="12"/>
        <v>#REF!</v>
      </c>
      <c r="BF59" s="701" t="e">
        <f t="shared" si="18"/>
        <v>#REF!</v>
      </c>
      <c r="BG59" s="702"/>
      <c r="BH59" s="12" t="e">
        <f t="shared" si="19"/>
        <v>#REF!</v>
      </c>
      <c r="BI59" s="703" t="e">
        <f t="shared" si="20"/>
        <v>#REF!</v>
      </c>
      <c r="BJ59" s="704"/>
      <c r="BK59" s="705" t="e">
        <f>IF(BR59&gt;0,CHOOSE(MATCH(RegimeExecucao,{"Unitário","Global"},0),IF($A59="S",BR59/BN59,""),(BR59/BN59)*100),"")</f>
        <v>#REF!</v>
      </c>
      <c r="BL59" s="706"/>
      <c r="BM59" s="707"/>
      <c r="BN59" s="708" t="e">
        <f>IF(BR59&gt;0,CHOOSE(MATCH(RegimeExecucao,{"Unitário","Global"},0),IF($A59="S",ROUND(P59,arredunit),""),ROUND(R59,arredtot)),"")</f>
        <v>#REF!</v>
      </c>
      <c r="BO59" s="709"/>
      <c r="BP59" s="709"/>
      <c r="BQ59" s="710"/>
      <c r="BR59" s="708" t="e">
        <f t="shared" si="1"/>
        <v>#REF!</v>
      </c>
      <c r="BS59" s="709"/>
      <c r="BT59" s="709"/>
      <c r="BU59" s="710"/>
      <c r="BV59" s="711"/>
      <c r="BW59" s="711"/>
      <c r="BX59" s="711"/>
      <c r="BY59" s="711"/>
      <c r="BZ59" s="711"/>
      <c r="CA59" s="712"/>
      <c r="CB59" s="16"/>
      <c r="CC59" s="16"/>
    </row>
    <row r="60" spans="1:81" ht="26.4">
      <c r="A60" s="59" t="str">
        <f t="shared" si="13"/>
        <v>S</v>
      </c>
      <c r="B60" s="59">
        <f t="shared" si="14"/>
        <v>0</v>
      </c>
      <c r="C60" s="59">
        <f t="shared" ca="1" si="2"/>
        <v>8</v>
      </c>
      <c r="D60" s="59">
        <f t="shared" ca="1" si="3"/>
        <v>2</v>
      </c>
      <c r="E60" s="59">
        <f t="shared" ca="1" si="4"/>
        <v>0</v>
      </c>
      <c r="F60" s="59">
        <f t="shared" ca="1" si="5"/>
        <v>0</v>
      </c>
      <c r="G60" s="59">
        <f t="shared" ca="1" si="6"/>
        <v>5</v>
      </c>
      <c r="H60" s="59">
        <f t="shared" ca="1" si="7"/>
        <v>0</v>
      </c>
      <c r="I60" s="59">
        <f t="shared" ca="1" si="8"/>
        <v>0</v>
      </c>
      <c r="J60" s="59">
        <f t="shared" si="9"/>
        <v>2</v>
      </c>
      <c r="K60" s="127" t="s">
        <v>4</v>
      </c>
      <c r="L60" s="165" t="s">
        <v>133</v>
      </c>
      <c r="M60" s="129" t="s">
        <v>134</v>
      </c>
      <c r="N60" s="130" t="s">
        <v>59</v>
      </c>
      <c r="O60" s="131">
        <v>50</v>
      </c>
      <c r="P60" s="132">
        <v>2.4278</v>
      </c>
      <c r="Q60" s="133">
        <f t="shared" si="15"/>
        <v>0</v>
      </c>
      <c r="R60" s="1">
        <f t="shared" si="21"/>
        <v>121.39</v>
      </c>
      <c r="S60" s="2">
        <f t="shared" ca="1" si="10"/>
        <v>0</v>
      </c>
      <c r="T60" s="3">
        <f t="shared" si="24"/>
        <v>0</v>
      </c>
      <c r="U60" s="4">
        <f t="shared" ca="1" si="22"/>
        <v>0</v>
      </c>
      <c r="V60" s="5"/>
      <c r="W60" s="6">
        <f t="shared" si="25"/>
        <v>0</v>
      </c>
      <c r="X60" s="7">
        <f t="shared" si="23"/>
        <v>0</v>
      </c>
      <c r="Y60" s="134"/>
      <c r="Z60" s="135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7"/>
      <c r="AL60" s="135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7"/>
      <c r="AX60" s="16"/>
      <c r="AY60" s="138">
        <v>0</v>
      </c>
      <c r="AZ60" s="8">
        <f t="shared" si="16"/>
        <v>0</v>
      </c>
      <c r="BA60" s="139">
        <v>0</v>
      </c>
      <c r="BB60" s="9" t="e">
        <f t="shared" si="11"/>
        <v>#REF!</v>
      </c>
      <c r="BC60" s="10" t="e">
        <f t="shared" si="17"/>
        <v>#REF!</v>
      </c>
      <c r="BD60" s="11" t="e">
        <f t="shared" si="12"/>
        <v>#REF!</v>
      </c>
      <c r="BF60" s="701" t="e">
        <f t="shared" si="18"/>
        <v>#REF!</v>
      </c>
      <c r="BG60" s="702"/>
      <c r="BH60" s="12" t="e">
        <f t="shared" si="19"/>
        <v>#REF!</v>
      </c>
      <c r="BI60" s="703" t="e">
        <f t="shared" si="20"/>
        <v>#REF!</v>
      </c>
      <c r="BJ60" s="704"/>
      <c r="BK60" s="705" t="e">
        <f>IF(BR60&gt;0,CHOOSE(MATCH(RegimeExecucao,{"Unitário","Global"},0),IF($A60="S",BR60/BN60,""),(BR60/BN60)*100),"")</f>
        <v>#REF!</v>
      </c>
      <c r="BL60" s="706"/>
      <c r="BM60" s="707"/>
      <c r="BN60" s="708" t="e">
        <f>IF(BR60&gt;0,CHOOSE(MATCH(RegimeExecucao,{"Unitário","Global"},0),IF($A60="S",ROUND(P60,arredunit),""),ROUND(R60,arredtot)),"")</f>
        <v>#REF!</v>
      </c>
      <c r="BO60" s="709"/>
      <c r="BP60" s="709"/>
      <c r="BQ60" s="710"/>
      <c r="BR60" s="708" t="e">
        <f t="shared" si="1"/>
        <v>#REF!</v>
      </c>
      <c r="BS60" s="709"/>
      <c r="BT60" s="709"/>
      <c r="BU60" s="710"/>
      <c r="BV60" s="711"/>
      <c r="BW60" s="711"/>
      <c r="BX60" s="711"/>
      <c r="BY60" s="711"/>
      <c r="BZ60" s="711"/>
      <c r="CA60" s="712"/>
      <c r="CB60" s="16"/>
      <c r="CC60" s="16"/>
    </row>
    <row r="61" spans="1:81" ht="39.6">
      <c r="A61" s="59" t="str">
        <f t="shared" si="13"/>
        <v>S</v>
      </c>
      <c r="B61" s="59">
        <f t="shared" si="14"/>
        <v>0</v>
      </c>
      <c r="C61" s="59">
        <f t="shared" ca="1" si="2"/>
        <v>8</v>
      </c>
      <c r="D61" s="59">
        <f t="shared" ca="1" si="3"/>
        <v>2</v>
      </c>
      <c r="E61" s="59">
        <f t="shared" ca="1" si="4"/>
        <v>0</v>
      </c>
      <c r="F61" s="59">
        <f t="shared" ca="1" si="5"/>
        <v>0</v>
      </c>
      <c r="G61" s="59">
        <f t="shared" ca="1" si="6"/>
        <v>6</v>
      </c>
      <c r="H61" s="59">
        <f t="shared" ca="1" si="7"/>
        <v>0</v>
      </c>
      <c r="I61" s="59">
        <f t="shared" ca="1" si="8"/>
        <v>0</v>
      </c>
      <c r="J61" s="59">
        <f t="shared" si="9"/>
        <v>2</v>
      </c>
      <c r="K61" s="127" t="s">
        <v>4</v>
      </c>
      <c r="L61" s="165" t="s">
        <v>135</v>
      </c>
      <c r="M61" s="129" t="s">
        <v>136</v>
      </c>
      <c r="N61" s="130" t="s">
        <v>43</v>
      </c>
      <c r="O61" s="131">
        <v>26.998698255662589</v>
      </c>
      <c r="P61" s="132">
        <v>38.409999999999997</v>
      </c>
      <c r="Q61" s="133">
        <f t="shared" si="15"/>
        <v>0</v>
      </c>
      <c r="R61" s="1">
        <f t="shared" si="21"/>
        <v>1037.02</v>
      </c>
      <c r="S61" s="2">
        <f t="shared" ca="1" si="10"/>
        <v>0</v>
      </c>
      <c r="T61" s="3">
        <f t="shared" si="24"/>
        <v>27</v>
      </c>
      <c r="U61" s="4">
        <f t="shared" ca="1" si="22"/>
        <v>27</v>
      </c>
      <c r="V61" s="5"/>
      <c r="W61" s="6">
        <f t="shared" si="25"/>
        <v>1037.02</v>
      </c>
      <c r="X61" s="7">
        <f t="shared" si="23"/>
        <v>1037.02</v>
      </c>
      <c r="Y61" s="134"/>
      <c r="Z61" s="135">
        <v>27</v>
      </c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7"/>
      <c r="AL61" s="135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7"/>
      <c r="AX61" s="16"/>
      <c r="AY61" s="138">
        <v>0</v>
      </c>
      <c r="AZ61" s="8">
        <f t="shared" si="16"/>
        <v>0</v>
      </c>
      <c r="BA61" s="139">
        <v>0</v>
      </c>
      <c r="BB61" s="9" t="e">
        <f t="shared" si="11"/>
        <v>#REF!</v>
      </c>
      <c r="BC61" s="10" t="e">
        <f t="shared" si="17"/>
        <v>#REF!</v>
      </c>
      <c r="BD61" s="11" t="e">
        <f t="shared" si="12"/>
        <v>#REF!</v>
      </c>
      <c r="BF61" s="701" t="e">
        <f t="shared" si="18"/>
        <v>#REF!</v>
      </c>
      <c r="BG61" s="702"/>
      <c r="BH61" s="12" t="e">
        <f t="shared" si="19"/>
        <v>#REF!</v>
      </c>
      <c r="BI61" s="703" t="e">
        <f t="shared" si="20"/>
        <v>#REF!</v>
      </c>
      <c r="BJ61" s="704"/>
      <c r="BK61" s="705" t="e">
        <f>IF(BR61&gt;0,CHOOSE(MATCH(RegimeExecucao,{"Unitário","Global"},0),IF($A61="S",BR61/BN61,""),(BR61/BN61)*100),"")</f>
        <v>#REF!</v>
      </c>
      <c r="BL61" s="706"/>
      <c r="BM61" s="707"/>
      <c r="BN61" s="708" t="e">
        <f>IF(BR61&gt;0,CHOOSE(MATCH(RegimeExecucao,{"Unitário","Global"},0),IF($A61="S",ROUND(P61,arredunit),""),ROUND(R61,arredtot)),"")</f>
        <v>#REF!</v>
      </c>
      <c r="BO61" s="709"/>
      <c r="BP61" s="709"/>
      <c r="BQ61" s="710"/>
      <c r="BR61" s="708" t="e">
        <f t="shared" si="1"/>
        <v>#REF!</v>
      </c>
      <c r="BS61" s="709"/>
      <c r="BT61" s="709"/>
      <c r="BU61" s="710"/>
      <c r="BV61" s="711"/>
      <c r="BW61" s="711"/>
      <c r="BX61" s="711"/>
      <c r="BY61" s="711"/>
      <c r="BZ61" s="711"/>
      <c r="CA61" s="712"/>
      <c r="CB61" s="16"/>
      <c r="CC61" s="16"/>
    </row>
    <row r="62" spans="1:81">
      <c r="A62" s="59">
        <f t="shared" si="13"/>
        <v>1</v>
      </c>
      <c r="B62" s="59">
        <f t="shared" ca="1" si="14"/>
        <v>5</v>
      </c>
      <c r="C62" s="59">
        <f t="shared" ca="1" si="2"/>
        <v>9</v>
      </c>
      <c r="D62" s="59">
        <f t="shared" ca="1" si="3"/>
        <v>0</v>
      </c>
      <c r="E62" s="59">
        <f t="shared" ca="1" si="4"/>
        <v>0</v>
      </c>
      <c r="F62" s="59">
        <f t="shared" ca="1" si="5"/>
        <v>0</v>
      </c>
      <c r="G62" s="59">
        <f t="shared" ca="1" si="6"/>
        <v>0</v>
      </c>
      <c r="H62" s="59">
        <f t="shared" ca="1" si="7"/>
        <v>27</v>
      </c>
      <c r="I62" s="59">
        <f t="shared" ca="1" si="8"/>
        <v>5</v>
      </c>
      <c r="J62" s="59">
        <f t="shared" si="9"/>
        <v>0</v>
      </c>
      <c r="K62" s="127" t="str">
        <f>CHOOSE(1+LOG(1+2*($J62=3)+4*($J62=2)+8*($J62=1)+16*(AND($L62&lt;&gt;"",$L62&lt;&gt;0,$J62=0))+32*OR($N62&lt;&gt;"",RegimeExecucao="Global",AND($L62="",$M62="",$N62="")),2),"","Nível 4","Nível 3","Nível 2","Meta","Serviço")</f>
        <v>Meta</v>
      </c>
      <c r="L62" s="128">
        <v>9</v>
      </c>
      <c r="M62" s="129" t="s">
        <v>137</v>
      </c>
      <c r="N62" s="130"/>
      <c r="O62" s="131"/>
      <c r="P62" s="132"/>
      <c r="Q62" s="133">
        <f t="shared" si="15"/>
        <v>20723.019999999997</v>
      </c>
      <c r="R62" s="1">
        <f>SUM(R63:R66)</f>
        <v>20723.019999999997</v>
      </c>
      <c r="S62" s="2">
        <f t="shared" ca="1" si="10"/>
        <v>0</v>
      </c>
      <c r="T62" s="3">
        <f t="shared" si="24"/>
        <v>0</v>
      </c>
      <c r="U62" s="4">
        <f t="shared" ca="1" si="22"/>
        <v>0</v>
      </c>
      <c r="V62" s="1">
        <f>SUM(V63:V66)</f>
        <v>0</v>
      </c>
      <c r="W62" s="1">
        <f>SUM(W63:W66)</f>
        <v>2765.4749999999999</v>
      </c>
      <c r="X62" s="7">
        <f t="shared" si="23"/>
        <v>2765.4749999999999</v>
      </c>
      <c r="Y62" s="134"/>
      <c r="Z62" s="135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7"/>
      <c r="AL62" s="135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7"/>
      <c r="AX62" s="16"/>
      <c r="AY62" s="138">
        <v>0</v>
      </c>
      <c r="AZ62" s="8">
        <f t="shared" si="16"/>
        <v>0</v>
      </c>
      <c r="BA62" s="139">
        <v>0</v>
      </c>
      <c r="BB62" s="9" t="e">
        <f t="shared" ca="1" si="11"/>
        <v>#REF!</v>
      </c>
      <c r="BC62" s="10" t="e">
        <f t="shared" ca="1" si="17"/>
        <v>#REF!</v>
      </c>
      <c r="BD62" s="11" t="e">
        <f t="shared" ca="1" si="12"/>
        <v>#REF!</v>
      </c>
      <c r="BF62" s="701" t="e">
        <f t="shared" ca="1" si="18"/>
        <v>#REF!</v>
      </c>
      <c r="BG62" s="702"/>
      <c r="BH62" s="12" t="e">
        <f t="shared" ca="1" si="19"/>
        <v>#REF!</v>
      </c>
      <c r="BI62" s="703" t="e">
        <f t="shared" ca="1" si="20"/>
        <v>#REF!</v>
      </c>
      <c r="BJ62" s="704"/>
      <c r="BK62" s="705" t="e">
        <f ca="1">IF(BR62&gt;0,CHOOSE(MATCH(RegimeExecucao,{"Unitário","Global"},0),IF($A62="S",BR62/BN62,""),(BR62/BN62)*100),"")</f>
        <v>#REF!</v>
      </c>
      <c r="BL62" s="706"/>
      <c r="BM62" s="707"/>
      <c r="BN62" s="708" t="e">
        <f ca="1">IF(BR62&gt;0,CHOOSE(MATCH(RegimeExecucao,{"Unitário","Global"},0),IF($A62="S",ROUND(P62,arredunit),""),ROUND(R62,arredtot)),"")</f>
        <v>#REF!</v>
      </c>
      <c r="BO62" s="709"/>
      <c r="BP62" s="709"/>
      <c r="BQ62" s="710"/>
      <c r="BR62" s="708" t="e">
        <f t="shared" ca="1" si="1"/>
        <v>#REF!</v>
      </c>
      <c r="BS62" s="709"/>
      <c r="BT62" s="709"/>
      <c r="BU62" s="710"/>
      <c r="BV62" s="711"/>
      <c r="BW62" s="711"/>
      <c r="BX62" s="711"/>
      <c r="BY62" s="711"/>
      <c r="BZ62" s="711"/>
      <c r="CA62" s="712"/>
      <c r="CB62" s="16"/>
      <c r="CC62" s="16"/>
    </row>
    <row r="63" spans="1:81" ht="26.4">
      <c r="A63" s="59" t="str">
        <f t="shared" si="13"/>
        <v>S</v>
      </c>
      <c r="B63" s="59">
        <f t="shared" si="14"/>
        <v>0</v>
      </c>
      <c r="C63" s="59">
        <f t="shared" ca="1" si="2"/>
        <v>9</v>
      </c>
      <c r="D63" s="59">
        <f t="shared" ca="1" si="3"/>
        <v>0</v>
      </c>
      <c r="E63" s="59">
        <f t="shared" ca="1" si="4"/>
        <v>0</v>
      </c>
      <c r="F63" s="59">
        <f t="shared" ca="1" si="5"/>
        <v>0</v>
      </c>
      <c r="G63" s="59">
        <f t="shared" ca="1" si="6"/>
        <v>1</v>
      </c>
      <c r="H63" s="59">
        <f t="shared" ca="1" si="7"/>
        <v>0</v>
      </c>
      <c r="I63" s="59">
        <f t="shared" ca="1" si="8"/>
        <v>0</v>
      </c>
      <c r="J63" s="59">
        <f t="shared" si="9"/>
        <v>1</v>
      </c>
      <c r="K63" s="127" t="s">
        <v>4</v>
      </c>
      <c r="L63" s="165" t="s">
        <v>138</v>
      </c>
      <c r="M63" s="129" t="s">
        <v>139</v>
      </c>
      <c r="N63" s="130" t="s">
        <v>43</v>
      </c>
      <c r="O63" s="131">
        <v>208</v>
      </c>
      <c r="P63" s="132">
        <v>26.591105769230769</v>
      </c>
      <c r="Q63" s="133">
        <f t="shared" si="15"/>
        <v>0</v>
      </c>
      <c r="R63" s="1">
        <f t="shared" si="21"/>
        <v>5530.95</v>
      </c>
      <c r="S63" s="2">
        <f t="shared" ca="1" si="10"/>
        <v>0</v>
      </c>
      <c r="T63" s="3">
        <f t="shared" si="24"/>
        <v>104</v>
      </c>
      <c r="U63" s="4">
        <f t="shared" ca="1" si="22"/>
        <v>104</v>
      </c>
      <c r="V63" s="5"/>
      <c r="W63" s="6">
        <f t="shared" si="25"/>
        <v>2765.4749999999999</v>
      </c>
      <c r="X63" s="7">
        <f t="shared" si="23"/>
        <v>2765.4749999999999</v>
      </c>
      <c r="Y63" s="134"/>
      <c r="Z63" s="135">
        <v>104</v>
      </c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7"/>
      <c r="AL63" s="135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7"/>
      <c r="AX63" s="16"/>
      <c r="AY63" s="138">
        <v>0</v>
      </c>
      <c r="AZ63" s="8">
        <f t="shared" si="16"/>
        <v>0</v>
      </c>
      <c r="BA63" s="139">
        <v>0</v>
      </c>
      <c r="BB63" s="9" t="e">
        <f t="shared" si="11"/>
        <v>#REF!</v>
      </c>
      <c r="BC63" s="10" t="e">
        <f t="shared" si="17"/>
        <v>#REF!</v>
      </c>
      <c r="BD63" s="11" t="e">
        <f t="shared" si="12"/>
        <v>#REF!</v>
      </c>
      <c r="BF63" s="701" t="e">
        <f t="shared" si="18"/>
        <v>#REF!</v>
      </c>
      <c r="BG63" s="702"/>
      <c r="BH63" s="12" t="e">
        <f t="shared" si="19"/>
        <v>#REF!</v>
      </c>
      <c r="BI63" s="703" t="e">
        <f t="shared" si="20"/>
        <v>#REF!</v>
      </c>
      <c r="BJ63" s="704"/>
      <c r="BK63" s="705" t="e">
        <f>IF(BR63&gt;0,CHOOSE(MATCH(RegimeExecucao,{"Unitário","Global"},0),IF($A63="S",BR63/BN63,""),(BR63/BN63)*100),"")</f>
        <v>#REF!</v>
      </c>
      <c r="BL63" s="706"/>
      <c r="BM63" s="707"/>
      <c r="BN63" s="708" t="e">
        <f>IF(BR63&gt;0,CHOOSE(MATCH(RegimeExecucao,{"Unitário","Global"},0),IF($A63="S",ROUND(P63,arredunit),""),ROUND(R63,arredtot)),"")</f>
        <v>#REF!</v>
      </c>
      <c r="BO63" s="709"/>
      <c r="BP63" s="709"/>
      <c r="BQ63" s="710"/>
      <c r="BR63" s="708" t="e">
        <f t="shared" si="1"/>
        <v>#REF!</v>
      </c>
      <c r="BS63" s="709"/>
      <c r="BT63" s="709"/>
      <c r="BU63" s="710"/>
      <c r="BV63" s="711"/>
      <c r="BW63" s="711"/>
      <c r="BX63" s="711"/>
      <c r="BY63" s="711"/>
      <c r="BZ63" s="711"/>
      <c r="CA63" s="712"/>
      <c r="CB63" s="16"/>
      <c r="CC63" s="16"/>
    </row>
    <row r="64" spans="1:81" ht="26.4">
      <c r="A64" s="59" t="str">
        <f t="shared" si="13"/>
        <v>S</v>
      </c>
      <c r="B64" s="59">
        <f t="shared" si="14"/>
        <v>0</v>
      </c>
      <c r="C64" s="59">
        <f t="shared" ca="1" si="2"/>
        <v>9</v>
      </c>
      <c r="D64" s="59">
        <f t="shared" ca="1" si="3"/>
        <v>0</v>
      </c>
      <c r="E64" s="59">
        <f t="shared" ca="1" si="4"/>
        <v>0</v>
      </c>
      <c r="F64" s="59">
        <f t="shared" ca="1" si="5"/>
        <v>0</v>
      </c>
      <c r="G64" s="59">
        <f t="shared" ca="1" si="6"/>
        <v>2</v>
      </c>
      <c r="H64" s="59">
        <f t="shared" ca="1" si="7"/>
        <v>0</v>
      </c>
      <c r="I64" s="59">
        <f t="shared" ca="1" si="8"/>
        <v>0</v>
      </c>
      <c r="J64" s="59">
        <f t="shared" si="9"/>
        <v>1</v>
      </c>
      <c r="K64" s="127" t="s">
        <v>4</v>
      </c>
      <c r="L64" s="165" t="s">
        <v>140</v>
      </c>
      <c r="M64" s="129" t="s">
        <v>141</v>
      </c>
      <c r="N64" s="130" t="s">
        <v>43</v>
      </c>
      <c r="O64" s="131">
        <v>783</v>
      </c>
      <c r="P64" s="132">
        <v>13.18662835249042</v>
      </c>
      <c r="Q64" s="133">
        <f t="shared" si="15"/>
        <v>0</v>
      </c>
      <c r="R64" s="1">
        <f t="shared" si="21"/>
        <v>10325.129999999999</v>
      </c>
      <c r="S64" s="2">
        <f t="shared" ca="1" si="10"/>
        <v>0</v>
      </c>
      <c r="T64" s="3">
        <f t="shared" si="24"/>
        <v>0</v>
      </c>
      <c r="U64" s="4">
        <f t="shared" ca="1" si="22"/>
        <v>0</v>
      </c>
      <c r="V64" s="5"/>
      <c r="W64" s="6">
        <f t="shared" si="25"/>
        <v>0</v>
      </c>
      <c r="X64" s="7">
        <f t="shared" si="23"/>
        <v>0</v>
      </c>
      <c r="Y64" s="134"/>
      <c r="Z64" s="135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7"/>
      <c r="AL64" s="135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7"/>
      <c r="AX64" s="16"/>
      <c r="AY64" s="138">
        <v>0</v>
      </c>
      <c r="AZ64" s="8">
        <f t="shared" si="16"/>
        <v>0</v>
      </c>
      <c r="BA64" s="139">
        <v>0</v>
      </c>
      <c r="BB64" s="9" t="e">
        <f t="shared" si="11"/>
        <v>#REF!</v>
      </c>
      <c r="BC64" s="10" t="e">
        <f t="shared" si="17"/>
        <v>#REF!</v>
      </c>
      <c r="BD64" s="11" t="e">
        <f t="shared" si="12"/>
        <v>#REF!</v>
      </c>
      <c r="BF64" s="701" t="e">
        <f t="shared" si="18"/>
        <v>#REF!</v>
      </c>
      <c r="BG64" s="702"/>
      <c r="BH64" s="12" t="e">
        <f t="shared" si="19"/>
        <v>#REF!</v>
      </c>
      <c r="BI64" s="703" t="e">
        <f t="shared" si="20"/>
        <v>#REF!</v>
      </c>
      <c r="BJ64" s="704"/>
      <c r="BK64" s="705" t="e">
        <f>IF(BR64&gt;0,CHOOSE(MATCH(RegimeExecucao,{"Unitário","Global"},0),IF($A64="S",BR64/BN64,""),(BR64/BN64)*100),"")</f>
        <v>#REF!</v>
      </c>
      <c r="BL64" s="706"/>
      <c r="BM64" s="707"/>
      <c r="BN64" s="708" t="e">
        <f>IF(BR64&gt;0,CHOOSE(MATCH(RegimeExecucao,{"Unitário","Global"},0),IF($A64="S",ROUND(P64,arredunit),""),ROUND(R64,arredtot)),"")</f>
        <v>#REF!</v>
      </c>
      <c r="BO64" s="709"/>
      <c r="BP64" s="709"/>
      <c r="BQ64" s="710"/>
      <c r="BR64" s="708" t="e">
        <f t="shared" si="1"/>
        <v>#REF!</v>
      </c>
      <c r="BS64" s="709"/>
      <c r="BT64" s="709"/>
      <c r="BU64" s="710"/>
      <c r="BV64" s="711"/>
      <c r="BW64" s="711"/>
      <c r="BX64" s="711"/>
      <c r="BY64" s="711"/>
      <c r="BZ64" s="711"/>
      <c r="CA64" s="712"/>
      <c r="CB64" s="16"/>
      <c r="CC64" s="16"/>
    </row>
    <row r="65" spans="1:81">
      <c r="A65" s="59" t="str">
        <f t="shared" si="13"/>
        <v>S</v>
      </c>
      <c r="B65" s="59">
        <f t="shared" si="14"/>
        <v>0</v>
      </c>
      <c r="C65" s="59">
        <f t="shared" ca="1" si="2"/>
        <v>9</v>
      </c>
      <c r="D65" s="59">
        <f t="shared" ca="1" si="3"/>
        <v>0</v>
      </c>
      <c r="E65" s="59">
        <f t="shared" ca="1" si="4"/>
        <v>0</v>
      </c>
      <c r="F65" s="59">
        <f t="shared" ca="1" si="5"/>
        <v>0</v>
      </c>
      <c r="G65" s="59">
        <f t="shared" ca="1" si="6"/>
        <v>3</v>
      </c>
      <c r="H65" s="59">
        <f t="shared" ca="1" si="7"/>
        <v>0</v>
      </c>
      <c r="I65" s="59">
        <f t="shared" ca="1" si="8"/>
        <v>0</v>
      </c>
      <c r="J65" s="59">
        <f t="shared" si="9"/>
        <v>1</v>
      </c>
      <c r="K65" s="127" t="s">
        <v>4</v>
      </c>
      <c r="L65" s="165" t="s">
        <v>142</v>
      </c>
      <c r="M65" s="129" t="s">
        <v>143</v>
      </c>
      <c r="N65" s="130" t="s">
        <v>43</v>
      </c>
      <c r="O65" s="131">
        <v>4.2595479345284488</v>
      </c>
      <c r="P65" s="132">
        <v>25.66</v>
      </c>
      <c r="Q65" s="133">
        <f t="shared" si="15"/>
        <v>0</v>
      </c>
      <c r="R65" s="1">
        <f t="shared" si="21"/>
        <v>109.3</v>
      </c>
      <c r="S65" s="2">
        <f t="shared" ca="1" si="10"/>
        <v>0</v>
      </c>
      <c r="T65" s="3">
        <f t="shared" si="24"/>
        <v>0</v>
      </c>
      <c r="U65" s="4">
        <f t="shared" ca="1" si="22"/>
        <v>0</v>
      </c>
      <c r="V65" s="5"/>
      <c r="W65" s="6">
        <f t="shared" si="25"/>
        <v>0</v>
      </c>
      <c r="X65" s="7">
        <f t="shared" si="23"/>
        <v>0</v>
      </c>
      <c r="Y65" s="134"/>
      <c r="Z65" s="135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7"/>
      <c r="AL65" s="135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7"/>
      <c r="AX65" s="16"/>
      <c r="AY65" s="138">
        <v>0</v>
      </c>
      <c r="AZ65" s="8">
        <f t="shared" si="16"/>
        <v>0</v>
      </c>
      <c r="BA65" s="139">
        <v>0</v>
      </c>
      <c r="BB65" s="9" t="e">
        <f t="shared" si="11"/>
        <v>#REF!</v>
      </c>
      <c r="BC65" s="10" t="e">
        <f t="shared" si="17"/>
        <v>#REF!</v>
      </c>
      <c r="BD65" s="11" t="e">
        <f t="shared" si="12"/>
        <v>#REF!</v>
      </c>
      <c r="BF65" s="701" t="e">
        <f t="shared" si="18"/>
        <v>#REF!</v>
      </c>
      <c r="BG65" s="702"/>
      <c r="BH65" s="12" t="e">
        <f t="shared" si="19"/>
        <v>#REF!</v>
      </c>
      <c r="BI65" s="703" t="e">
        <f t="shared" si="20"/>
        <v>#REF!</v>
      </c>
      <c r="BJ65" s="704"/>
      <c r="BK65" s="705" t="e">
        <f>IF(BR65&gt;0,CHOOSE(MATCH(RegimeExecucao,{"Unitário","Global"},0),IF($A65="S",BR65/BN65,""),(BR65/BN65)*100),"")</f>
        <v>#REF!</v>
      </c>
      <c r="BL65" s="706"/>
      <c r="BM65" s="707"/>
      <c r="BN65" s="708" t="e">
        <f>IF(BR65&gt;0,CHOOSE(MATCH(RegimeExecucao,{"Unitário","Global"},0),IF($A65="S",ROUND(P65,arredunit),""),ROUND(R65,arredtot)),"")</f>
        <v>#REF!</v>
      </c>
      <c r="BO65" s="709"/>
      <c r="BP65" s="709"/>
      <c r="BQ65" s="710"/>
      <c r="BR65" s="708" t="e">
        <f t="shared" si="1"/>
        <v>#REF!</v>
      </c>
      <c r="BS65" s="709"/>
      <c r="BT65" s="709"/>
      <c r="BU65" s="710"/>
      <c r="BV65" s="711"/>
      <c r="BW65" s="711"/>
      <c r="BX65" s="711"/>
      <c r="BY65" s="711"/>
      <c r="BZ65" s="711"/>
      <c r="CA65" s="712"/>
      <c r="CB65" s="16"/>
      <c r="CC65" s="16"/>
    </row>
    <row r="66" spans="1:81" ht="26.4">
      <c r="A66" s="59" t="str">
        <f t="shared" si="13"/>
        <v>S</v>
      </c>
      <c r="B66" s="59">
        <f t="shared" si="14"/>
        <v>0</v>
      </c>
      <c r="C66" s="59">
        <f t="shared" ca="1" si="2"/>
        <v>9</v>
      </c>
      <c r="D66" s="59">
        <f t="shared" ca="1" si="3"/>
        <v>0</v>
      </c>
      <c r="E66" s="59">
        <f t="shared" ca="1" si="4"/>
        <v>0</v>
      </c>
      <c r="F66" s="59">
        <f t="shared" ca="1" si="5"/>
        <v>0</v>
      </c>
      <c r="G66" s="59">
        <f t="shared" ca="1" si="6"/>
        <v>4</v>
      </c>
      <c r="H66" s="59">
        <f t="shared" ca="1" si="7"/>
        <v>0</v>
      </c>
      <c r="I66" s="59">
        <f t="shared" ca="1" si="8"/>
        <v>0</v>
      </c>
      <c r="J66" s="59">
        <f t="shared" si="9"/>
        <v>1</v>
      </c>
      <c r="K66" s="127" t="s">
        <v>4</v>
      </c>
      <c r="L66" s="165" t="s">
        <v>144</v>
      </c>
      <c r="M66" s="129" t="s">
        <v>145</v>
      </c>
      <c r="N66" s="130" t="s">
        <v>43</v>
      </c>
      <c r="O66" s="131">
        <v>99</v>
      </c>
      <c r="P66" s="132">
        <v>48.056969696969695</v>
      </c>
      <c r="Q66" s="133">
        <f t="shared" si="15"/>
        <v>0</v>
      </c>
      <c r="R66" s="1">
        <f t="shared" si="21"/>
        <v>4757.6399999999994</v>
      </c>
      <c r="S66" s="2">
        <f t="shared" ca="1" si="10"/>
        <v>0</v>
      </c>
      <c r="T66" s="3">
        <f t="shared" si="24"/>
        <v>0</v>
      </c>
      <c r="U66" s="4">
        <f t="shared" ca="1" si="22"/>
        <v>0</v>
      </c>
      <c r="V66" s="5"/>
      <c r="W66" s="6">
        <f t="shared" si="25"/>
        <v>0</v>
      </c>
      <c r="X66" s="7">
        <f t="shared" si="23"/>
        <v>0</v>
      </c>
      <c r="Y66" s="134"/>
      <c r="Z66" s="135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7"/>
      <c r="AL66" s="135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7"/>
      <c r="AX66" s="16"/>
      <c r="AY66" s="138">
        <v>0</v>
      </c>
      <c r="AZ66" s="8">
        <f t="shared" si="16"/>
        <v>0</v>
      </c>
      <c r="BA66" s="139">
        <v>0</v>
      </c>
      <c r="BB66" s="9" t="e">
        <f t="shared" si="11"/>
        <v>#REF!</v>
      </c>
      <c r="BC66" s="10" t="e">
        <f t="shared" si="17"/>
        <v>#REF!</v>
      </c>
      <c r="BD66" s="11" t="e">
        <f t="shared" si="12"/>
        <v>#REF!</v>
      </c>
      <c r="BF66" s="701" t="e">
        <f t="shared" si="18"/>
        <v>#REF!</v>
      </c>
      <c r="BG66" s="702"/>
      <c r="BH66" s="12" t="e">
        <f t="shared" si="19"/>
        <v>#REF!</v>
      </c>
      <c r="BI66" s="703" t="e">
        <f t="shared" si="20"/>
        <v>#REF!</v>
      </c>
      <c r="BJ66" s="704"/>
      <c r="BK66" s="705" t="e">
        <f>IF(BR66&gt;0,CHOOSE(MATCH(RegimeExecucao,{"Unitário","Global"},0),IF($A66="S",BR66/BN66,""),(BR66/BN66)*100),"")</f>
        <v>#REF!</v>
      </c>
      <c r="BL66" s="706"/>
      <c r="BM66" s="707"/>
      <c r="BN66" s="708" t="e">
        <f>IF(BR66&gt;0,CHOOSE(MATCH(RegimeExecucao,{"Unitário","Global"},0),IF($A66="S",ROUND(P66,arredunit),""),ROUND(R66,arredtot)),"")</f>
        <v>#REF!</v>
      </c>
      <c r="BO66" s="709"/>
      <c r="BP66" s="709"/>
      <c r="BQ66" s="710"/>
      <c r="BR66" s="708" t="e">
        <f t="shared" si="1"/>
        <v>#REF!</v>
      </c>
      <c r="BS66" s="709"/>
      <c r="BT66" s="709"/>
      <c r="BU66" s="710"/>
      <c r="BV66" s="711"/>
      <c r="BW66" s="711"/>
      <c r="BX66" s="711"/>
      <c r="BY66" s="711"/>
      <c r="BZ66" s="711"/>
      <c r="CA66" s="712"/>
      <c r="CB66" s="16"/>
      <c r="CC66" s="16"/>
    </row>
    <row r="67" spans="1:81">
      <c r="A67" s="59">
        <f t="shared" si="13"/>
        <v>1</v>
      </c>
      <c r="B67" s="59">
        <f t="shared" ca="1" si="14"/>
        <v>6</v>
      </c>
      <c r="C67" s="59">
        <f t="shared" ca="1" si="2"/>
        <v>10</v>
      </c>
      <c r="D67" s="59">
        <f t="shared" ca="1" si="3"/>
        <v>0</v>
      </c>
      <c r="E67" s="59">
        <f t="shared" ca="1" si="4"/>
        <v>0</v>
      </c>
      <c r="F67" s="59">
        <f t="shared" ca="1" si="5"/>
        <v>0</v>
      </c>
      <c r="G67" s="59">
        <f t="shared" ca="1" si="6"/>
        <v>0</v>
      </c>
      <c r="H67" s="59">
        <f t="shared" ca="1" si="7"/>
        <v>22</v>
      </c>
      <c r="I67" s="59">
        <f t="shared" ca="1" si="8"/>
        <v>6</v>
      </c>
      <c r="J67" s="59">
        <f t="shared" si="9"/>
        <v>0</v>
      </c>
      <c r="K67" s="127" t="str">
        <f>CHOOSE(1+LOG(1+2*($J67=3)+4*($J67=2)+8*($J67=1)+16*(AND($L67&lt;&gt;"",$L67&lt;&gt;0,$J67=0))+32*OR($N67&lt;&gt;"",RegimeExecucao="Global",AND($L67="",$M67="",$N67="")),2),"","Nível 4","Nível 3","Nível 2","Meta","Serviço")</f>
        <v>Meta</v>
      </c>
      <c r="L67" s="128">
        <v>10</v>
      </c>
      <c r="M67" s="129" t="s">
        <v>146</v>
      </c>
      <c r="N67" s="130"/>
      <c r="O67" s="131"/>
      <c r="P67" s="132"/>
      <c r="Q67" s="133">
        <f t="shared" si="15"/>
        <v>11563.460000000001</v>
      </c>
      <c r="R67" s="1">
        <f>SUM(R68:R72)</f>
        <v>11563.460000000001</v>
      </c>
      <c r="S67" s="2">
        <f t="shared" ca="1" si="10"/>
        <v>0</v>
      </c>
      <c r="T67" s="3">
        <f t="shared" si="24"/>
        <v>0</v>
      </c>
      <c r="U67" s="4">
        <f t="shared" ca="1" si="22"/>
        <v>0</v>
      </c>
      <c r="V67" s="1">
        <f>SUM(V68:V72)</f>
        <v>0</v>
      </c>
      <c r="W67" s="1">
        <f>SUM(W68:W72)</f>
        <v>0</v>
      </c>
      <c r="X67" s="7">
        <f t="shared" si="23"/>
        <v>0</v>
      </c>
      <c r="Y67" s="134"/>
      <c r="Z67" s="135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7"/>
      <c r="AL67" s="135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7"/>
      <c r="AX67" s="16"/>
      <c r="AY67" s="138">
        <v>0</v>
      </c>
      <c r="AZ67" s="8">
        <f t="shared" si="16"/>
        <v>0</v>
      </c>
      <c r="BA67" s="139">
        <v>0</v>
      </c>
      <c r="BB67" s="9" t="e">
        <f t="shared" ca="1" si="11"/>
        <v>#REF!</v>
      </c>
      <c r="BC67" s="10" t="e">
        <f t="shared" ca="1" si="17"/>
        <v>#REF!</v>
      </c>
      <c r="BD67" s="11" t="e">
        <f t="shared" ca="1" si="12"/>
        <v>#REF!</v>
      </c>
      <c r="BF67" s="701" t="e">
        <f t="shared" ca="1" si="18"/>
        <v>#REF!</v>
      </c>
      <c r="BG67" s="702"/>
      <c r="BH67" s="12" t="e">
        <f t="shared" ca="1" si="19"/>
        <v>#REF!</v>
      </c>
      <c r="BI67" s="703" t="e">
        <f t="shared" ca="1" si="20"/>
        <v>#REF!</v>
      </c>
      <c r="BJ67" s="704"/>
      <c r="BK67" s="705" t="e">
        <f ca="1">IF(BR67&gt;0,CHOOSE(MATCH(RegimeExecucao,{"Unitário","Global"},0),IF($A67="S",BR67/BN67,""),(BR67/BN67)*100),"")</f>
        <v>#REF!</v>
      </c>
      <c r="BL67" s="706"/>
      <c r="BM67" s="707"/>
      <c r="BN67" s="708" t="e">
        <f ca="1">IF(BR67&gt;0,CHOOSE(MATCH(RegimeExecucao,{"Unitário","Global"},0),IF($A67="S",ROUND(P67,arredunit),""),ROUND(R67,arredtot)),"")</f>
        <v>#REF!</v>
      </c>
      <c r="BO67" s="709"/>
      <c r="BP67" s="709"/>
      <c r="BQ67" s="710"/>
      <c r="BR67" s="708" t="e">
        <f t="shared" ca="1" si="1"/>
        <v>#REF!</v>
      </c>
      <c r="BS67" s="709"/>
      <c r="BT67" s="709"/>
      <c r="BU67" s="710"/>
      <c r="BV67" s="711"/>
      <c r="BW67" s="711"/>
      <c r="BX67" s="711"/>
      <c r="BY67" s="711"/>
      <c r="BZ67" s="711"/>
      <c r="CA67" s="712"/>
      <c r="CB67" s="16"/>
      <c r="CC67" s="16"/>
    </row>
    <row r="68" spans="1:81">
      <c r="A68" s="59" t="str">
        <f t="shared" si="13"/>
        <v>S</v>
      </c>
      <c r="B68" s="59">
        <f t="shared" si="14"/>
        <v>0</v>
      </c>
      <c r="C68" s="59">
        <f t="shared" ca="1" si="2"/>
        <v>10</v>
      </c>
      <c r="D68" s="59">
        <f t="shared" ca="1" si="3"/>
        <v>0</v>
      </c>
      <c r="E68" s="59">
        <f t="shared" ca="1" si="4"/>
        <v>0</v>
      </c>
      <c r="F68" s="59">
        <f t="shared" ca="1" si="5"/>
        <v>0</v>
      </c>
      <c r="G68" s="59">
        <f t="shared" ca="1" si="6"/>
        <v>1</v>
      </c>
      <c r="H68" s="59">
        <f t="shared" ca="1" si="7"/>
        <v>0</v>
      </c>
      <c r="I68" s="59">
        <f t="shared" ca="1" si="8"/>
        <v>0</v>
      </c>
      <c r="J68" s="59">
        <f t="shared" si="9"/>
        <v>1</v>
      </c>
      <c r="K68" s="127" t="s">
        <v>4</v>
      </c>
      <c r="L68" s="165" t="s">
        <v>147</v>
      </c>
      <c r="M68" s="129" t="s">
        <v>148</v>
      </c>
      <c r="N68" s="130" t="s">
        <v>43</v>
      </c>
      <c r="O68" s="131">
        <v>9.999675261414561</v>
      </c>
      <c r="P68" s="132">
        <v>153.97</v>
      </c>
      <c r="Q68" s="133">
        <f t="shared" si="15"/>
        <v>0</v>
      </c>
      <c r="R68" s="1">
        <f t="shared" si="21"/>
        <v>1539.6499999999999</v>
      </c>
      <c r="S68" s="2">
        <f t="shared" ca="1" si="10"/>
        <v>0</v>
      </c>
      <c r="T68" s="3">
        <f t="shared" si="24"/>
        <v>0</v>
      </c>
      <c r="U68" s="4">
        <f t="shared" ca="1" si="22"/>
        <v>0</v>
      </c>
      <c r="V68" s="5"/>
      <c r="W68" s="6">
        <f t="shared" si="25"/>
        <v>0</v>
      </c>
      <c r="X68" s="7">
        <f t="shared" si="23"/>
        <v>0</v>
      </c>
      <c r="Y68" s="134"/>
      <c r="Z68" s="135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7"/>
      <c r="AL68" s="135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7"/>
      <c r="AX68" s="16"/>
      <c r="AY68" s="138">
        <v>0</v>
      </c>
      <c r="AZ68" s="8">
        <f t="shared" si="16"/>
        <v>0</v>
      </c>
      <c r="BA68" s="139">
        <v>0</v>
      </c>
      <c r="BB68" s="9" t="e">
        <f t="shared" si="11"/>
        <v>#REF!</v>
      </c>
      <c r="BC68" s="10" t="e">
        <f t="shared" si="17"/>
        <v>#REF!</v>
      </c>
      <c r="BD68" s="11" t="e">
        <f t="shared" si="12"/>
        <v>#REF!</v>
      </c>
      <c r="BF68" s="701" t="e">
        <f t="shared" si="18"/>
        <v>#REF!</v>
      </c>
      <c r="BG68" s="702"/>
      <c r="BH68" s="12" t="e">
        <f t="shared" si="19"/>
        <v>#REF!</v>
      </c>
      <c r="BI68" s="703" t="e">
        <f t="shared" si="20"/>
        <v>#REF!</v>
      </c>
      <c r="BJ68" s="704"/>
      <c r="BK68" s="705" t="e">
        <f>IF(BR68&gt;0,CHOOSE(MATCH(RegimeExecucao,{"Unitário","Global"},0),IF($A68="S",BR68/BN68,""),(BR68/BN68)*100),"")</f>
        <v>#REF!</v>
      </c>
      <c r="BL68" s="706"/>
      <c r="BM68" s="707"/>
      <c r="BN68" s="708" t="e">
        <f>IF(BR68&gt;0,CHOOSE(MATCH(RegimeExecucao,{"Unitário","Global"},0),IF($A68="S",ROUND(P68,arredunit),""),ROUND(R68,arredtot)),"")</f>
        <v>#REF!</v>
      </c>
      <c r="BO68" s="709"/>
      <c r="BP68" s="709"/>
      <c r="BQ68" s="710"/>
      <c r="BR68" s="708" t="e">
        <f t="shared" si="1"/>
        <v>#REF!</v>
      </c>
      <c r="BS68" s="709"/>
      <c r="BT68" s="709"/>
      <c r="BU68" s="710"/>
      <c r="BV68" s="711"/>
      <c r="BW68" s="711"/>
      <c r="BX68" s="711"/>
      <c r="BY68" s="711"/>
      <c r="BZ68" s="711"/>
      <c r="CA68" s="712"/>
      <c r="CB68" s="16"/>
      <c r="CC68" s="16"/>
    </row>
    <row r="69" spans="1:81">
      <c r="A69" s="59" t="str">
        <f t="shared" si="13"/>
        <v>S</v>
      </c>
      <c r="B69" s="59">
        <f t="shared" si="14"/>
        <v>0</v>
      </c>
      <c r="C69" s="59">
        <f t="shared" ca="1" si="2"/>
        <v>10</v>
      </c>
      <c r="D69" s="59">
        <f t="shared" ca="1" si="3"/>
        <v>0</v>
      </c>
      <c r="E69" s="59">
        <f t="shared" ca="1" si="4"/>
        <v>0</v>
      </c>
      <c r="F69" s="59">
        <f t="shared" ca="1" si="5"/>
        <v>0</v>
      </c>
      <c r="G69" s="59">
        <f t="shared" ca="1" si="6"/>
        <v>2</v>
      </c>
      <c r="H69" s="59">
        <f t="shared" ca="1" si="7"/>
        <v>0</v>
      </c>
      <c r="I69" s="59">
        <f t="shared" ca="1" si="8"/>
        <v>0</v>
      </c>
      <c r="J69" s="59">
        <f t="shared" si="9"/>
        <v>1</v>
      </c>
      <c r="K69" s="127" t="s">
        <v>4</v>
      </c>
      <c r="L69" s="165" t="s">
        <v>149</v>
      </c>
      <c r="M69" s="129" t="s">
        <v>150</v>
      </c>
      <c r="N69" s="130" t="s">
        <v>151</v>
      </c>
      <c r="O69" s="131">
        <v>1</v>
      </c>
      <c r="P69" s="132">
        <v>3449.03</v>
      </c>
      <c r="Q69" s="133">
        <f t="shared" si="15"/>
        <v>0</v>
      </c>
      <c r="R69" s="1">
        <f t="shared" si="21"/>
        <v>3449.03</v>
      </c>
      <c r="S69" s="2">
        <f t="shared" ca="1" si="10"/>
        <v>0</v>
      </c>
      <c r="T69" s="3">
        <f t="shared" si="24"/>
        <v>0</v>
      </c>
      <c r="U69" s="4">
        <f t="shared" ca="1" si="22"/>
        <v>0</v>
      </c>
      <c r="V69" s="5"/>
      <c r="W69" s="6">
        <f t="shared" si="25"/>
        <v>0</v>
      </c>
      <c r="X69" s="7">
        <f t="shared" si="23"/>
        <v>0</v>
      </c>
      <c r="Y69" s="134"/>
      <c r="Z69" s="135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7"/>
      <c r="AL69" s="135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7"/>
      <c r="AX69" s="16"/>
      <c r="AY69" s="138">
        <v>0</v>
      </c>
      <c r="AZ69" s="8">
        <f t="shared" si="16"/>
        <v>0</v>
      </c>
      <c r="BA69" s="139">
        <v>0</v>
      </c>
      <c r="BB69" s="9" t="e">
        <f t="shared" si="11"/>
        <v>#REF!</v>
      </c>
      <c r="BC69" s="10" t="e">
        <f t="shared" si="17"/>
        <v>#REF!</v>
      </c>
      <c r="BD69" s="11" t="e">
        <f t="shared" si="12"/>
        <v>#REF!</v>
      </c>
      <c r="BF69" s="701" t="e">
        <f t="shared" si="18"/>
        <v>#REF!</v>
      </c>
      <c r="BG69" s="702"/>
      <c r="BH69" s="12" t="e">
        <f t="shared" si="19"/>
        <v>#REF!</v>
      </c>
      <c r="BI69" s="703" t="e">
        <f t="shared" si="20"/>
        <v>#REF!</v>
      </c>
      <c r="BJ69" s="704"/>
      <c r="BK69" s="705" t="e">
        <f>IF(BR69&gt;0,CHOOSE(MATCH(RegimeExecucao,{"Unitário","Global"},0),IF($A69="S",BR69/BN69,""),(BR69/BN69)*100),"")</f>
        <v>#REF!</v>
      </c>
      <c r="BL69" s="706"/>
      <c r="BM69" s="707"/>
      <c r="BN69" s="708" t="e">
        <f>IF(BR69&gt;0,CHOOSE(MATCH(RegimeExecucao,{"Unitário","Global"},0),IF($A69="S",ROUND(P69,arredunit),""),ROUND(R69,arredtot)),"")</f>
        <v>#REF!</v>
      </c>
      <c r="BO69" s="709"/>
      <c r="BP69" s="709"/>
      <c r="BQ69" s="710"/>
      <c r="BR69" s="708" t="e">
        <f t="shared" si="1"/>
        <v>#REF!</v>
      </c>
      <c r="BS69" s="709"/>
      <c r="BT69" s="709"/>
      <c r="BU69" s="710"/>
      <c r="BV69" s="711"/>
      <c r="BW69" s="711"/>
      <c r="BX69" s="711"/>
      <c r="BY69" s="711"/>
      <c r="BZ69" s="711"/>
      <c r="CA69" s="712"/>
      <c r="CB69" s="16"/>
      <c r="CC69" s="16"/>
    </row>
    <row r="70" spans="1:81">
      <c r="A70" s="59" t="str">
        <f t="shared" si="13"/>
        <v>S</v>
      </c>
      <c r="B70" s="59">
        <f t="shared" si="14"/>
        <v>0</v>
      </c>
      <c r="C70" s="59">
        <f t="shared" ca="1" si="2"/>
        <v>10</v>
      </c>
      <c r="D70" s="59">
        <f t="shared" ca="1" si="3"/>
        <v>0</v>
      </c>
      <c r="E70" s="59">
        <f t="shared" ca="1" si="4"/>
        <v>0</v>
      </c>
      <c r="F70" s="59">
        <f t="shared" ca="1" si="5"/>
        <v>0</v>
      </c>
      <c r="G70" s="59">
        <f t="shared" ca="1" si="6"/>
        <v>3</v>
      </c>
      <c r="H70" s="59">
        <f t="shared" ca="1" si="7"/>
        <v>0</v>
      </c>
      <c r="I70" s="59">
        <f t="shared" ca="1" si="8"/>
        <v>0</v>
      </c>
      <c r="J70" s="59">
        <f t="shared" si="9"/>
        <v>1</v>
      </c>
      <c r="K70" s="127" t="s">
        <v>4</v>
      </c>
      <c r="L70" s="165" t="s">
        <v>152</v>
      </c>
      <c r="M70" s="129" t="s">
        <v>153</v>
      </c>
      <c r="N70" s="130" t="s">
        <v>151</v>
      </c>
      <c r="O70" s="131">
        <v>1.9999937134594832</v>
      </c>
      <c r="P70" s="132">
        <v>1590.7</v>
      </c>
      <c r="Q70" s="133">
        <f t="shared" si="15"/>
        <v>0</v>
      </c>
      <c r="R70" s="1">
        <f t="shared" si="21"/>
        <v>3181.39</v>
      </c>
      <c r="S70" s="2">
        <f t="shared" ca="1" si="10"/>
        <v>0</v>
      </c>
      <c r="T70" s="3">
        <f t="shared" si="24"/>
        <v>0</v>
      </c>
      <c r="U70" s="4">
        <f t="shared" ca="1" si="22"/>
        <v>0</v>
      </c>
      <c r="V70" s="5"/>
      <c r="W70" s="6">
        <f t="shared" si="25"/>
        <v>0</v>
      </c>
      <c r="X70" s="7">
        <f t="shared" si="23"/>
        <v>0</v>
      </c>
      <c r="Y70" s="134"/>
      <c r="Z70" s="135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7"/>
      <c r="AL70" s="135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7"/>
      <c r="AX70" s="16"/>
      <c r="AY70" s="138">
        <v>0</v>
      </c>
      <c r="AZ70" s="8">
        <f t="shared" si="16"/>
        <v>0</v>
      </c>
      <c r="BA70" s="139">
        <v>0</v>
      </c>
      <c r="BB70" s="9" t="e">
        <f t="shared" si="11"/>
        <v>#REF!</v>
      </c>
      <c r="BC70" s="10" t="e">
        <f t="shared" si="17"/>
        <v>#REF!</v>
      </c>
      <c r="BD70" s="11" t="e">
        <f t="shared" si="12"/>
        <v>#REF!</v>
      </c>
      <c r="BF70" s="701" t="e">
        <f t="shared" si="18"/>
        <v>#REF!</v>
      </c>
      <c r="BG70" s="702"/>
      <c r="BH70" s="12" t="e">
        <f t="shared" si="19"/>
        <v>#REF!</v>
      </c>
      <c r="BI70" s="703" t="e">
        <f t="shared" si="20"/>
        <v>#REF!</v>
      </c>
      <c r="BJ70" s="704"/>
      <c r="BK70" s="705" t="e">
        <f>IF(BR70&gt;0,CHOOSE(MATCH(RegimeExecucao,{"Unitário","Global"},0),IF($A70="S",BR70/BN70,""),(BR70/BN70)*100),"")</f>
        <v>#REF!</v>
      </c>
      <c r="BL70" s="706"/>
      <c r="BM70" s="707"/>
      <c r="BN70" s="708" t="e">
        <f>IF(BR70&gt;0,CHOOSE(MATCH(RegimeExecucao,{"Unitário","Global"},0),IF($A70="S",ROUND(P70,arredunit),""),ROUND(R70,arredtot)),"")</f>
        <v>#REF!</v>
      </c>
      <c r="BO70" s="709"/>
      <c r="BP70" s="709"/>
      <c r="BQ70" s="710"/>
      <c r="BR70" s="708" t="e">
        <f t="shared" si="1"/>
        <v>#REF!</v>
      </c>
      <c r="BS70" s="709"/>
      <c r="BT70" s="709"/>
      <c r="BU70" s="710"/>
      <c r="BV70" s="711"/>
      <c r="BW70" s="711"/>
      <c r="BX70" s="711"/>
      <c r="BY70" s="711"/>
      <c r="BZ70" s="711"/>
      <c r="CA70" s="712"/>
      <c r="CB70" s="16"/>
      <c r="CC70" s="16"/>
    </row>
    <row r="71" spans="1:81">
      <c r="A71" s="59" t="str">
        <f t="shared" si="13"/>
        <v>S</v>
      </c>
      <c r="B71" s="59">
        <f t="shared" si="14"/>
        <v>0</v>
      </c>
      <c r="C71" s="59">
        <f t="shared" ca="1" si="2"/>
        <v>10</v>
      </c>
      <c r="D71" s="59">
        <f t="shared" ca="1" si="3"/>
        <v>0</v>
      </c>
      <c r="E71" s="59">
        <f t="shared" ca="1" si="4"/>
        <v>0</v>
      </c>
      <c r="F71" s="59">
        <f t="shared" ca="1" si="5"/>
        <v>0</v>
      </c>
      <c r="G71" s="59">
        <f t="shared" ca="1" si="6"/>
        <v>4</v>
      </c>
      <c r="H71" s="59">
        <f t="shared" ca="1" si="7"/>
        <v>0</v>
      </c>
      <c r="I71" s="59">
        <f t="shared" ca="1" si="8"/>
        <v>0</v>
      </c>
      <c r="J71" s="59">
        <f t="shared" si="9"/>
        <v>1</v>
      </c>
      <c r="K71" s="127" t="s">
        <v>4</v>
      </c>
      <c r="L71" s="165" t="s">
        <v>154</v>
      </c>
      <c r="M71" s="129" t="s">
        <v>155</v>
      </c>
      <c r="N71" s="130" t="s">
        <v>151</v>
      </c>
      <c r="O71" s="131">
        <v>2</v>
      </c>
      <c r="P71" s="132">
        <v>997.64</v>
      </c>
      <c r="Q71" s="133">
        <f t="shared" si="15"/>
        <v>0</v>
      </c>
      <c r="R71" s="1">
        <f t="shared" si="21"/>
        <v>1995.28</v>
      </c>
      <c r="S71" s="2">
        <f t="shared" ca="1" si="10"/>
        <v>0</v>
      </c>
      <c r="T71" s="3">
        <f t="shared" si="24"/>
        <v>0</v>
      </c>
      <c r="U71" s="4">
        <f t="shared" ca="1" si="22"/>
        <v>0</v>
      </c>
      <c r="V71" s="5"/>
      <c r="W71" s="6">
        <f t="shared" si="25"/>
        <v>0</v>
      </c>
      <c r="X71" s="7">
        <f t="shared" si="23"/>
        <v>0</v>
      </c>
      <c r="Y71" s="134"/>
      <c r="Z71" s="135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7"/>
      <c r="AL71" s="135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7"/>
      <c r="AX71" s="16"/>
      <c r="AY71" s="138">
        <v>0</v>
      </c>
      <c r="AZ71" s="8">
        <f t="shared" si="16"/>
        <v>0</v>
      </c>
      <c r="BA71" s="139">
        <v>0</v>
      </c>
      <c r="BB71" s="9" t="e">
        <f t="shared" si="11"/>
        <v>#REF!</v>
      </c>
      <c r="BC71" s="10" t="e">
        <f t="shared" si="17"/>
        <v>#REF!</v>
      </c>
      <c r="BD71" s="11" t="e">
        <f t="shared" si="12"/>
        <v>#REF!</v>
      </c>
      <c r="BF71" s="701" t="e">
        <f t="shared" si="18"/>
        <v>#REF!</v>
      </c>
      <c r="BG71" s="702"/>
      <c r="BH71" s="12" t="e">
        <f t="shared" si="19"/>
        <v>#REF!</v>
      </c>
      <c r="BI71" s="703" t="e">
        <f t="shared" si="20"/>
        <v>#REF!</v>
      </c>
      <c r="BJ71" s="704"/>
      <c r="BK71" s="705" t="e">
        <f>IF(BR71&gt;0,CHOOSE(MATCH(RegimeExecucao,{"Unitário","Global"},0),IF($A71="S",BR71/BN71,""),(BR71/BN71)*100),"")</f>
        <v>#REF!</v>
      </c>
      <c r="BL71" s="706"/>
      <c r="BM71" s="707"/>
      <c r="BN71" s="708" t="e">
        <f>IF(BR71&gt;0,CHOOSE(MATCH(RegimeExecucao,{"Unitário","Global"},0),IF($A71="S",ROUND(P71,arredunit),""),ROUND(R71,arredtot)),"")</f>
        <v>#REF!</v>
      </c>
      <c r="BO71" s="709"/>
      <c r="BP71" s="709"/>
      <c r="BQ71" s="710"/>
      <c r="BR71" s="708" t="e">
        <f t="shared" si="1"/>
        <v>#REF!</v>
      </c>
      <c r="BS71" s="709"/>
      <c r="BT71" s="709"/>
      <c r="BU71" s="710"/>
      <c r="BV71" s="711"/>
      <c r="BW71" s="711"/>
      <c r="BX71" s="711"/>
      <c r="BY71" s="711"/>
      <c r="BZ71" s="711"/>
      <c r="CA71" s="712"/>
      <c r="CB71" s="16"/>
      <c r="CC71" s="16"/>
    </row>
    <row r="72" spans="1:81">
      <c r="A72" s="59" t="str">
        <f t="shared" si="13"/>
        <v>S</v>
      </c>
      <c r="B72" s="59">
        <f t="shared" si="14"/>
        <v>0</v>
      </c>
      <c r="C72" s="59">
        <f t="shared" ca="1" si="2"/>
        <v>10</v>
      </c>
      <c r="D72" s="59">
        <f t="shared" ca="1" si="3"/>
        <v>0</v>
      </c>
      <c r="E72" s="59">
        <f t="shared" ca="1" si="4"/>
        <v>0</v>
      </c>
      <c r="F72" s="59">
        <f t="shared" ca="1" si="5"/>
        <v>0</v>
      </c>
      <c r="G72" s="59">
        <f t="shared" ca="1" si="6"/>
        <v>5</v>
      </c>
      <c r="H72" s="59">
        <f t="shared" ca="1" si="7"/>
        <v>0</v>
      </c>
      <c r="I72" s="59">
        <f t="shared" ca="1" si="8"/>
        <v>0</v>
      </c>
      <c r="J72" s="59">
        <f t="shared" si="9"/>
        <v>1</v>
      </c>
      <c r="K72" s="127" t="s">
        <v>4</v>
      </c>
      <c r="L72" s="165" t="s">
        <v>156</v>
      </c>
      <c r="M72" s="129" t="s">
        <v>157</v>
      </c>
      <c r="N72" s="130" t="s">
        <v>151</v>
      </c>
      <c r="O72" s="131">
        <v>1</v>
      </c>
      <c r="P72" s="132">
        <v>1398.11</v>
      </c>
      <c r="Q72" s="133">
        <f t="shared" si="15"/>
        <v>0</v>
      </c>
      <c r="R72" s="1">
        <f t="shared" si="21"/>
        <v>1398.11</v>
      </c>
      <c r="S72" s="2">
        <f t="shared" ca="1" si="10"/>
        <v>0</v>
      </c>
      <c r="T72" s="3">
        <f t="shared" si="24"/>
        <v>0</v>
      </c>
      <c r="U72" s="4">
        <f t="shared" ca="1" si="22"/>
        <v>0</v>
      </c>
      <c r="V72" s="5"/>
      <c r="W72" s="6">
        <f t="shared" si="25"/>
        <v>0</v>
      </c>
      <c r="X72" s="7">
        <f t="shared" si="23"/>
        <v>0</v>
      </c>
      <c r="Y72" s="134"/>
      <c r="Z72" s="135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7"/>
      <c r="AL72" s="135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7"/>
      <c r="AX72" s="16"/>
      <c r="AY72" s="138">
        <v>0</v>
      </c>
      <c r="AZ72" s="8">
        <f t="shared" si="16"/>
        <v>0</v>
      </c>
      <c r="BA72" s="139">
        <v>0</v>
      </c>
      <c r="BB72" s="9" t="e">
        <f t="shared" si="11"/>
        <v>#REF!</v>
      </c>
      <c r="BC72" s="10" t="e">
        <f t="shared" si="17"/>
        <v>#REF!</v>
      </c>
      <c r="BD72" s="11" t="e">
        <f t="shared" si="12"/>
        <v>#REF!</v>
      </c>
      <c r="BF72" s="701" t="e">
        <f t="shared" si="18"/>
        <v>#REF!</v>
      </c>
      <c r="BG72" s="702"/>
      <c r="BH72" s="12" t="e">
        <f t="shared" si="19"/>
        <v>#REF!</v>
      </c>
      <c r="BI72" s="703" t="e">
        <f t="shared" si="20"/>
        <v>#REF!</v>
      </c>
      <c r="BJ72" s="704"/>
      <c r="BK72" s="705" t="e">
        <f>IF(BR72&gt;0,CHOOSE(MATCH(RegimeExecucao,{"Unitário","Global"},0),IF($A72="S",BR72/BN72,""),(BR72/BN72)*100),"")</f>
        <v>#REF!</v>
      </c>
      <c r="BL72" s="706"/>
      <c r="BM72" s="707"/>
      <c r="BN72" s="708" t="e">
        <f>IF(BR72&gt;0,CHOOSE(MATCH(RegimeExecucao,{"Unitário","Global"},0),IF($A72="S",ROUND(P72,arredunit),""),ROUND(R72,arredtot)),"")</f>
        <v>#REF!</v>
      </c>
      <c r="BO72" s="709"/>
      <c r="BP72" s="709"/>
      <c r="BQ72" s="710"/>
      <c r="BR72" s="708" t="e">
        <f t="shared" si="1"/>
        <v>#REF!</v>
      </c>
      <c r="BS72" s="709"/>
      <c r="BT72" s="709"/>
      <c r="BU72" s="710"/>
      <c r="BV72" s="711"/>
      <c r="BW72" s="711"/>
      <c r="BX72" s="711"/>
      <c r="BY72" s="711"/>
      <c r="BZ72" s="711"/>
      <c r="CA72" s="712"/>
      <c r="CB72" s="16"/>
      <c r="CC72" s="16"/>
    </row>
    <row r="73" spans="1:81">
      <c r="A73" s="59">
        <f t="shared" si="13"/>
        <v>1</v>
      </c>
      <c r="B73" s="59">
        <f t="shared" ca="1" si="14"/>
        <v>10</v>
      </c>
      <c r="C73" s="59">
        <f t="shared" ca="1" si="2"/>
        <v>11</v>
      </c>
      <c r="D73" s="59">
        <f t="shared" ca="1" si="3"/>
        <v>0</v>
      </c>
      <c r="E73" s="59">
        <f t="shared" ca="1" si="4"/>
        <v>0</v>
      </c>
      <c r="F73" s="59">
        <f t="shared" ca="1" si="5"/>
        <v>0</v>
      </c>
      <c r="G73" s="59">
        <f t="shared" ca="1" si="6"/>
        <v>0</v>
      </c>
      <c r="H73" s="59">
        <f t="shared" ca="1" si="7"/>
        <v>16</v>
      </c>
      <c r="I73" s="59">
        <f t="shared" ca="1" si="8"/>
        <v>10</v>
      </c>
      <c r="J73" s="59">
        <f t="shared" si="9"/>
        <v>0</v>
      </c>
      <c r="K73" s="127" t="str">
        <f>CHOOSE(1+LOG(1+2*($J73=3)+4*($J73=2)+8*($J73=1)+16*(AND($L73&lt;&gt;"",$L73&lt;&gt;0,$J73=0))+32*OR($N73&lt;&gt;"",RegimeExecucao="Global",AND($L73="",$M73="",$N73="")),2),"","Nível 4","Nível 3","Nível 2","Meta","Serviço")</f>
        <v>Meta</v>
      </c>
      <c r="L73" s="128">
        <v>11</v>
      </c>
      <c r="M73" s="129" t="s">
        <v>158</v>
      </c>
      <c r="N73" s="130"/>
      <c r="O73" s="131"/>
      <c r="P73" s="132"/>
      <c r="Q73" s="133">
        <f t="shared" si="15"/>
        <v>75679.460000000006</v>
      </c>
      <c r="R73" s="1">
        <f>SUM(R74:R82)</f>
        <v>75679.460000000006</v>
      </c>
      <c r="S73" s="2">
        <f t="shared" ca="1" si="10"/>
        <v>0</v>
      </c>
      <c r="T73" s="3">
        <f t="shared" si="24"/>
        <v>0</v>
      </c>
      <c r="U73" s="4">
        <f t="shared" ca="1" si="22"/>
        <v>0</v>
      </c>
      <c r="V73" s="1">
        <f>SUM(V74:V82)</f>
        <v>0</v>
      </c>
      <c r="W73" s="1">
        <f>SUM(W74:W82)</f>
        <v>0</v>
      </c>
      <c r="X73" s="7">
        <f t="shared" si="23"/>
        <v>0</v>
      </c>
      <c r="Y73" s="134"/>
      <c r="Z73" s="135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7"/>
      <c r="AL73" s="135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7"/>
      <c r="AX73" s="16"/>
      <c r="AY73" s="138">
        <v>0</v>
      </c>
      <c r="AZ73" s="8">
        <f t="shared" si="16"/>
        <v>0</v>
      </c>
      <c r="BA73" s="139">
        <v>0</v>
      </c>
      <c r="BB73" s="9" t="e">
        <f t="shared" ca="1" si="11"/>
        <v>#REF!</v>
      </c>
      <c r="BC73" s="10" t="e">
        <f t="shared" ca="1" si="17"/>
        <v>#REF!</v>
      </c>
      <c r="BD73" s="11" t="e">
        <f t="shared" ca="1" si="12"/>
        <v>#REF!</v>
      </c>
      <c r="BF73" s="701" t="e">
        <f t="shared" ca="1" si="18"/>
        <v>#REF!</v>
      </c>
      <c r="BG73" s="702"/>
      <c r="BH73" s="12" t="e">
        <f t="shared" ca="1" si="19"/>
        <v>#REF!</v>
      </c>
      <c r="BI73" s="703" t="e">
        <f t="shared" ca="1" si="20"/>
        <v>#REF!</v>
      </c>
      <c r="BJ73" s="704"/>
      <c r="BK73" s="705" t="e">
        <f ca="1">IF(BR73&gt;0,CHOOSE(MATCH(RegimeExecucao,{"Unitário","Global"},0),IF($A73="S",BR73/BN73,""),(BR73/BN73)*100),"")</f>
        <v>#REF!</v>
      </c>
      <c r="BL73" s="706"/>
      <c r="BM73" s="707"/>
      <c r="BN73" s="708" t="e">
        <f ca="1">IF(BR73&gt;0,CHOOSE(MATCH(RegimeExecucao,{"Unitário","Global"},0),IF($A73="S",ROUND(P73,arredunit),""),ROUND(R73,arredtot)),"")</f>
        <v>#REF!</v>
      </c>
      <c r="BO73" s="709"/>
      <c r="BP73" s="709"/>
      <c r="BQ73" s="710"/>
      <c r="BR73" s="708" t="e">
        <f t="shared" ca="1" si="1"/>
        <v>#REF!</v>
      </c>
      <c r="BS73" s="709"/>
      <c r="BT73" s="709"/>
      <c r="BU73" s="710"/>
      <c r="BV73" s="711"/>
      <c r="BW73" s="711"/>
      <c r="BX73" s="711"/>
      <c r="BY73" s="711"/>
      <c r="BZ73" s="711"/>
      <c r="CA73" s="712"/>
      <c r="CB73" s="16"/>
      <c r="CC73" s="16"/>
    </row>
    <row r="74" spans="1:81">
      <c r="A74" s="59" t="str">
        <f t="shared" si="13"/>
        <v>S</v>
      </c>
      <c r="B74" s="59">
        <f t="shared" si="14"/>
        <v>0</v>
      </c>
      <c r="C74" s="59">
        <f t="shared" ca="1" si="2"/>
        <v>11</v>
      </c>
      <c r="D74" s="59">
        <f t="shared" ca="1" si="3"/>
        <v>0</v>
      </c>
      <c r="E74" s="59">
        <f t="shared" ca="1" si="4"/>
        <v>0</v>
      </c>
      <c r="F74" s="59">
        <f t="shared" ca="1" si="5"/>
        <v>0</v>
      </c>
      <c r="G74" s="59">
        <f t="shared" ca="1" si="6"/>
        <v>1</v>
      </c>
      <c r="H74" s="59">
        <f t="shared" ca="1" si="7"/>
        <v>0</v>
      </c>
      <c r="I74" s="59">
        <f t="shared" ca="1" si="8"/>
        <v>0</v>
      </c>
      <c r="J74" s="59">
        <f t="shared" si="9"/>
        <v>1</v>
      </c>
      <c r="K74" s="127" t="s">
        <v>4</v>
      </c>
      <c r="L74" s="165" t="s">
        <v>159</v>
      </c>
      <c r="M74" s="129" t="s">
        <v>160</v>
      </c>
      <c r="N74" s="130" t="s">
        <v>43</v>
      </c>
      <c r="O74" s="131">
        <v>386.9</v>
      </c>
      <c r="P74" s="132">
        <v>168.20987335228742</v>
      </c>
      <c r="Q74" s="133">
        <f t="shared" si="15"/>
        <v>0</v>
      </c>
      <c r="R74" s="1">
        <f t="shared" si="21"/>
        <v>65080.399999999994</v>
      </c>
      <c r="S74" s="2">
        <f t="shared" ca="1" si="10"/>
        <v>0</v>
      </c>
      <c r="T74" s="3">
        <f t="shared" si="24"/>
        <v>0</v>
      </c>
      <c r="U74" s="4">
        <f t="shared" ca="1" si="22"/>
        <v>0</v>
      </c>
      <c r="V74" s="5"/>
      <c r="W74" s="6">
        <f t="shared" si="25"/>
        <v>0</v>
      </c>
      <c r="X74" s="7">
        <f t="shared" si="23"/>
        <v>0</v>
      </c>
      <c r="Y74" s="134"/>
      <c r="Z74" s="135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7"/>
      <c r="AL74" s="135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7"/>
      <c r="AX74" s="16"/>
      <c r="AY74" s="138">
        <v>0</v>
      </c>
      <c r="AZ74" s="8">
        <f t="shared" si="16"/>
        <v>0</v>
      </c>
      <c r="BA74" s="139">
        <v>0</v>
      </c>
      <c r="BB74" s="9" t="e">
        <f t="shared" si="11"/>
        <v>#REF!</v>
      </c>
      <c r="BC74" s="10" t="e">
        <f t="shared" si="17"/>
        <v>#REF!</v>
      </c>
      <c r="BD74" s="11" t="e">
        <f t="shared" si="12"/>
        <v>#REF!</v>
      </c>
      <c r="BF74" s="701" t="e">
        <f t="shared" si="18"/>
        <v>#REF!</v>
      </c>
      <c r="BG74" s="702"/>
      <c r="BH74" s="12" t="e">
        <f t="shared" si="19"/>
        <v>#REF!</v>
      </c>
      <c r="BI74" s="703" t="e">
        <f t="shared" si="20"/>
        <v>#REF!</v>
      </c>
      <c r="BJ74" s="704"/>
      <c r="BK74" s="705" t="e">
        <f>IF(BR74&gt;0,CHOOSE(MATCH(RegimeExecucao,{"Unitário","Global"},0),IF($A74="S",BR74/BN74,""),(BR74/BN74)*100),"")</f>
        <v>#REF!</v>
      </c>
      <c r="BL74" s="706"/>
      <c r="BM74" s="707"/>
      <c r="BN74" s="708" t="e">
        <f>IF(BR74&gt;0,CHOOSE(MATCH(RegimeExecucao,{"Unitário","Global"},0),IF($A74="S",ROUND(P74,arredunit),""),ROUND(R74,arredtot)),"")</f>
        <v>#REF!</v>
      </c>
      <c r="BO74" s="709"/>
      <c r="BP74" s="709"/>
      <c r="BQ74" s="710"/>
      <c r="BR74" s="708" t="e">
        <f t="shared" si="1"/>
        <v>#REF!</v>
      </c>
      <c r="BS74" s="709"/>
      <c r="BT74" s="709"/>
      <c r="BU74" s="710"/>
      <c r="BV74" s="711"/>
      <c r="BW74" s="711"/>
      <c r="BX74" s="711"/>
      <c r="BY74" s="711"/>
      <c r="BZ74" s="711"/>
      <c r="CA74" s="712"/>
      <c r="CB74" s="16"/>
      <c r="CC74" s="16"/>
    </row>
    <row r="75" spans="1:81" ht="26.4">
      <c r="A75" s="59" t="str">
        <f t="shared" si="13"/>
        <v>S</v>
      </c>
      <c r="B75" s="59">
        <f t="shared" si="14"/>
        <v>0</v>
      </c>
      <c r="C75" s="59">
        <f t="shared" ca="1" si="2"/>
        <v>11</v>
      </c>
      <c r="D75" s="59">
        <f t="shared" ca="1" si="3"/>
        <v>0</v>
      </c>
      <c r="E75" s="59">
        <f t="shared" ca="1" si="4"/>
        <v>0</v>
      </c>
      <c r="F75" s="59">
        <f t="shared" ca="1" si="5"/>
        <v>0</v>
      </c>
      <c r="G75" s="59">
        <f t="shared" ca="1" si="6"/>
        <v>2</v>
      </c>
      <c r="H75" s="59">
        <f t="shared" ca="1" si="7"/>
        <v>0</v>
      </c>
      <c r="I75" s="59">
        <f t="shared" ca="1" si="8"/>
        <v>0</v>
      </c>
      <c r="J75" s="59">
        <f t="shared" si="9"/>
        <v>1</v>
      </c>
      <c r="K75" s="127" t="s">
        <v>4</v>
      </c>
      <c r="L75" s="165" t="s">
        <v>161</v>
      </c>
      <c r="M75" s="129" t="s">
        <v>162</v>
      </c>
      <c r="N75" s="130" t="s">
        <v>93</v>
      </c>
      <c r="O75" s="131">
        <v>8.0000939165551408</v>
      </c>
      <c r="P75" s="132">
        <v>425.91</v>
      </c>
      <c r="Q75" s="133">
        <f t="shared" si="15"/>
        <v>0</v>
      </c>
      <c r="R75" s="1">
        <f t="shared" si="21"/>
        <v>3407.32</v>
      </c>
      <c r="S75" s="2">
        <f t="shared" ca="1" si="10"/>
        <v>0</v>
      </c>
      <c r="T75" s="3">
        <f t="shared" si="24"/>
        <v>0</v>
      </c>
      <c r="U75" s="4">
        <f t="shared" ca="1" si="22"/>
        <v>0</v>
      </c>
      <c r="V75" s="5"/>
      <c r="W75" s="6">
        <f t="shared" si="25"/>
        <v>0</v>
      </c>
      <c r="X75" s="7">
        <f t="shared" si="23"/>
        <v>0</v>
      </c>
      <c r="Y75" s="134"/>
      <c r="Z75" s="135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7"/>
      <c r="AL75" s="135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7"/>
      <c r="AX75" s="16"/>
      <c r="AY75" s="138">
        <v>0</v>
      </c>
      <c r="AZ75" s="8">
        <f t="shared" si="16"/>
        <v>0</v>
      </c>
      <c r="BA75" s="139">
        <v>0</v>
      </c>
      <c r="BB75" s="9" t="e">
        <f t="shared" si="11"/>
        <v>#REF!</v>
      </c>
      <c r="BC75" s="10" t="e">
        <f t="shared" si="17"/>
        <v>#REF!</v>
      </c>
      <c r="BD75" s="11" t="e">
        <f t="shared" si="12"/>
        <v>#REF!</v>
      </c>
      <c r="BF75" s="701" t="e">
        <f t="shared" si="18"/>
        <v>#REF!</v>
      </c>
      <c r="BG75" s="702"/>
      <c r="BH75" s="12" t="e">
        <f t="shared" si="19"/>
        <v>#REF!</v>
      </c>
      <c r="BI75" s="703" t="e">
        <f t="shared" si="20"/>
        <v>#REF!</v>
      </c>
      <c r="BJ75" s="704"/>
      <c r="BK75" s="705" t="e">
        <f>IF(BR75&gt;0,CHOOSE(MATCH(RegimeExecucao,{"Unitário","Global"},0),IF($A75="S",BR75/BN75,""),(BR75/BN75)*100),"")</f>
        <v>#REF!</v>
      </c>
      <c r="BL75" s="706"/>
      <c r="BM75" s="707"/>
      <c r="BN75" s="708" t="e">
        <f>IF(BR75&gt;0,CHOOSE(MATCH(RegimeExecucao,{"Unitário","Global"},0),IF($A75="S",ROUND(P75,arredunit),""),ROUND(R75,arredtot)),"")</f>
        <v>#REF!</v>
      </c>
      <c r="BO75" s="709"/>
      <c r="BP75" s="709"/>
      <c r="BQ75" s="710"/>
      <c r="BR75" s="708" t="e">
        <f t="shared" ref="BR75:BR87" si="26">$X75-$BD75</f>
        <v>#REF!</v>
      </c>
      <c r="BS75" s="709"/>
      <c r="BT75" s="709"/>
      <c r="BU75" s="710"/>
      <c r="BV75" s="711"/>
      <c r="BW75" s="711"/>
      <c r="BX75" s="711"/>
      <c r="BY75" s="711"/>
      <c r="BZ75" s="711"/>
      <c r="CA75" s="712"/>
      <c r="CB75" s="16"/>
      <c r="CC75" s="16"/>
    </row>
    <row r="76" spans="1:81" ht="39.6">
      <c r="A76" s="59" t="str">
        <f t="shared" si="13"/>
        <v>S</v>
      </c>
      <c r="B76" s="59">
        <f t="shared" si="14"/>
        <v>0</v>
      </c>
      <c r="C76" s="59">
        <f t="shared" ref="C76:C87" ca="1" si="27">IF($A76=1,OFFSET(C76,-1,0)+1,OFFSET(C76,-1,0))</f>
        <v>11</v>
      </c>
      <c r="D76" s="59">
        <f t="shared" ref="D76:D87" ca="1" si="28">IF($A76=1,0,IF($A76=2,OFFSET(D76,-1,0)+1,OFFSET(D76,-1,0)))</f>
        <v>0</v>
      </c>
      <c r="E76" s="59">
        <f t="shared" ref="E76:E87" ca="1" si="29">IF(AND($A76&lt;=2,$A76&lt;&gt;0),0,IF($A76=3,OFFSET(E76,-1,0)+1,OFFSET(E76,-1,0)))</f>
        <v>0</v>
      </c>
      <c r="F76" s="59">
        <f t="shared" ref="F76:F87" ca="1" si="30">IF(AND($A76&lt;=3,$A76&lt;&gt;0),0,IF($A76=4,OFFSET(F76,-1,0)+1,OFFSET(F76,-1,0)))</f>
        <v>0</v>
      </c>
      <c r="G76" s="59">
        <f t="shared" ref="G76:G87" ca="1" si="31">IF(AND($A76&lt;=4,$A76&lt;&gt;0),0,IF($A76="S",OFFSET(G76,-1,0)+1,OFFSET(G76,-1,0)))</f>
        <v>3</v>
      </c>
      <c r="H76" s="59">
        <f t="shared" ref="H76:H87" ca="1" si="32">IF(OR($A76="S",$A76=0),0,MATCH(0,OFFSET($B76,1,$A76,ROW($A$89)-ROW($A76)),0))</f>
        <v>0</v>
      </c>
      <c r="I76" s="59">
        <f t="shared" ref="I76:I87" ca="1" si="33">IF(OR($A76="S",$A76=0),0,MATCH(OFFSET($B76,0,$A76)+1,OFFSET($B76,1,$A76,ROW($A$89)-ROW($A76)),0))</f>
        <v>0</v>
      </c>
      <c r="J76" s="59">
        <f t="shared" ref="J76:J87" si="34">LEN(LEFT($L76,LEN($L76)-1*(RIGHT($L76,1)=".")))-LEN(SUBSTITUTE(LEFT($L76,LEN($L76)-1*(RIGHT($L76,1)=".")),".",""))</f>
        <v>1</v>
      </c>
      <c r="K76" s="127" t="s">
        <v>4</v>
      </c>
      <c r="L76" s="165" t="s">
        <v>163</v>
      </c>
      <c r="M76" s="129" t="s">
        <v>164</v>
      </c>
      <c r="N76" s="130" t="s">
        <v>59</v>
      </c>
      <c r="O76" s="131">
        <v>360</v>
      </c>
      <c r="P76" s="132">
        <v>2.811638888888889</v>
      </c>
      <c r="Q76" s="133">
        <f t="shared" si="15"/>
        <v>0</v>
      </c>
      <c r="R76" s="1">
        <f t="shared" si="21"/>
        <v>1012.19</v>
      </c>
      <c r="S76" s="2">
        <f ca="1">IF(AND($A76="S",COUNTIF($Z$10:$AW$10,mediçao-1)&gt;0),SUM(OFFSET($Z76,0,0,1,MATCH(mediçao-1,$Z$10:$AW$10,0))),IF(AND(RegimeExecucao="Global",$R76&gt;0,COUNTIF($Z$10:$AW$10,mediçao-1)&gt;0),V76/$R76*100,0))</f>
        <v>0</v>
      </c>
      <c r="T76" s="3">
        <f t="shared" si="24"/>
        <v>0</v>
      </c>
      <c r="U76" s="4">
        <f t="shared" ca="1" si="22"/>
        <v>0</v>
      </c>
      <c r="V76" s="5"/>
      <c r="W76" s="6">
        <f t="shared" si="25"/>
        <v>0</v>
      </c>
      <c r="X76" s="7">
        <f t="shared" si="23"/>
        <v>0</v>
      </c>
      <c r="Y76" s="134"/>
      <c r="Z76" s="135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7"/>
      <c r="AL76" s="135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7"/>
      <c r="AX76" s="16"/>
      <c r="AY76" s="138">
        <v>0</v>
      </c>
      <c r="AZ76" s="8">
        <f t="shared" si="16"/>
        <v>0</v>
      </c>
      <c r="BA76" s="139">
        <v>0</v>
      </c>
      <c r="BB76" s="9" t="e">
        <f>IF($A76="S",VTOTAL,IF($A76=0,0,ROUND(SomaAgrup,arredtot)))</f>
        <v>#REF!</v>
      </c>
      <c r="BC76" s="10" t="e">
        <f t="shared" si="17"/>
        <v>#REF!</v>
      </c>
      <c r="BD76" s="11" t="e">
        <f>IF($A76="S",VTOTAL,IF($A76=0,0,ROUND(SomaAgrup,arredtot)))</f>
        <v>#REF!</v>
      </c>
      <c r="BF76" s="701" t="e">
        <f t="shared" si="18"/>
        <v>#REF!</v>
      </c>
      <c r="BG76" s="702"/>
      <c r="BH76" s="12" t="e">
        <f t="shared" si="19"/>
        <v>#REF!</v>
      </c>
      <c r="BI76" s="703" t="e">
        <f t="shared" si="20"/>
        <v>#REF!</v>
      </c>
      <c r="BJ76" s="704"/>
      <c r="BK76" s="705" t="e">
        <f>IF(BR76&gt;0,CHOOSE(MATCH(RegimeExecucao,{"Unitário","Global"},0),IF($A76="S",BR76/BN76,""),(BR76/BN76)*100),"")</f>
        <v>#REF!</v>
      </c>
      <c r="BL76" s="706"/>
      <c r="BM76" s="707"/>
      <c r="BN76" s="708" t="e">
        <f>IF(BR76&gt;0,CHOOSE(MATCH(RegimeExecucao,{"Unitário","Global"},0),IF($A76="S",ROUND(P76,arredunit),""),ROUND(R76,arredtot)),"")</f>
        <v>#REF!</v>
      </c>
      <c r="BO76" s="709"/>
      <c r="BP76" s="709"/>
      <c r="BQ76" s="710"/>
      <c r="BR76" s="708" t="e">
        <f t="shared" si="26"/>
        <v>#REF!</v>
      </c>
      <c r="BS76" s="709"/>
      <c r="BT76" s="709"/>
      <c r="BU76" s="710"/>
      <c r="BV76" s="711"/>
      <c r="BW76" s="711"/>
      <c r="BX76" s="711"/>
      <c r="BY76" s="711"/>
      <c r="BZ76" s="711"/>
      <c r="CA76" s="712"/>
      <c r="CB76" s="16"/>
      <c r="CC76" s="16"/>
    </row>
    <row r="77" spans="1:81" ht="39.6">
      <c r="A77" s="59" t="str">
        <f t="shared" ref="A77:A87" si="35">CHOOSE(1+LOG(1+2*(K77="Meta")+4*(K77="Nível 2")+8*(K77="Nível 3")+16*(K77="Nível 4")+32*(K77="Serviço"),2),0,1,2,3,4,"S")</f>
        <v>S</v>
      </c>
      <c r="B77" s="59">
        <f t="shared" ref="B77:B87" si="36">IF(OR(A77="S",A77=0),0,IF(ISERROR(I77),H77,SMALL(H77:I77,1)))</f>
        <v>0</v>
      </c>
      <c r="C77" s="59">
        <f t="shared" ca="1" si="27"/>
        <v>11</v>
      </c>
      <c r="D77" s="59">
        <f t="shared" ca="1" si="28"/>
        <v>0</v>
      </c>
      <c r="E77" s="59">
        <f t="shared" ca="1" si="29"/>
        <v>0</v>
      </c>
      <c r="F77" s="59">
        <f t="shared" ca="1" si="30"/>
        <v>0</v>
      </c>
      <c r="G77" s="59">
        <f t="shared" ca="1" si="31"/>
        <v>4</v>
      </c>
      <c r="H77" s="59">
        <f t="shared" ca="1" si="32"/>
        <v>0</v>
      </c>
      <c r="I77" s="59">
        <f t="shared" ca="1" si="33"/>
        <v>0</v>
      </c>
      <c r="J77" s="59">
        <f t="shared" si="34"/>
        <v>1</v>
      </c>
      <c r="K77" s="127" t="s">
        <v>4</v>
      </c>
      <c r="L77" s="165" t="s">
        <v>165</v>
      </c>
      <c r="M77" s="129" t="s">
        <v>166</v>
      </c>
      <c r="N77" s="130" t="s">
        <v>59</v>
      </c>
      <c r="O77" s="131">
        <v>150</v>
      </c>
      <c r="P77" s="132">
        <v>8.1547333333333345</v>
      </c>
      <c r="Q77" s="133">
        <f t="shared" ref="Q77:Q87" si="37">IF($A77="S",0,$R77)</f>
        <v>0</v>
      </c>
      <c r="R77" s="1">
        <f t="shared" si="21"/>
        <v>1223.2100000000003</v>
      </c>
      <c r="S77" s="2">
        <f ca="1">IF(AND($A77="S",COUNTIF($Z$10:$AW$10,mediçao-1)&gt;0),SUM(OFFSET($Z77,0,0,1,MATCH(mediçao-1,$Z$10:$AW$10,0))),IF(AND(RegimeExecucao="Global",$R77&gt;0,COUNTIF($Z$10:$AW$10,mediçao-1)&gt;0),V77/$R77*100,0))</f>
        <v>0</v>
      </c>
      <c r="T77" s="3">
        <f t="shared" si="24"/>
        <v>0</v>
      </c>
      <c r="U77" s="4">
        <f t="shared" ca="1" si="22"/>
        <v>0</v>
      </c>
      <c r="V77" s="5"/>
      <c r="W77" s="6">
        <f t="shared" si="25"/>
        <v>0</v>
      </c>
      <c r="X77" s="7">
        <f t="shared" si="23"/>
        <v>0</v>
      </c>
      <c r="Y77" s="134"/>
      <c r="Z77" s="135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7"/>
      <c r="AL77" s="135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7"/>
      <c r="AX77" s="16"/>
      <c r="AY77" s="138">
        <v>0</v>
      </c>
      <c r="AZ77" s="8">
        <f t="shared" ref="AZ77:AZ87" si="38">BA77-AY77</f>
        <v>0</v>
      </c>
      <c r="BA77" s="139">
        <v>0</v>
      </c>
      <c r="BB77" s="9" t="e">
        <f>IF($A77="S",VTOTAL,IF($A77=0,0,ROUND(SomaAgrup,arredtot)))</f>
        <v>#REF!</v>
      </c>
      <c r="BC77" s="10" t="e">
        <f t="shared" ref="BC77:BC87" si="39">BD77-BB77</f>
        <v>#REF!</v>
      </c>
      <c r="BD77" s="11" t="e">
        <f>IF($A77="S",VTOTAL,IF($A77=0,0,ROUND(SomaAgrup,arredtot)))</f>
        <v>#REF!</v>
      </c>
      <c r="BF77" s="701" t="e">
        <f t="shared" ref="BF77:BF87" si="40">IF(BK77&gt;0,L77,"")</f>
        <v>#REF!</v>
      </c>
      <c r="BG77" s="702"/>
      <c r="BH77" s="12" t="e">
        <f t="shared" ref="BH77:BH87" si="41">IF(BK77&gt;0,M77,"")</f>
        <v>#REF!</v>
      </c>
      <c r="BI77" s="703" t="e">
        <f t="shared" ref="BI77:BI87" si="42">IF(BK77&gt;0,N77,"")</f>
        <v>#REF!</v>
      </c>
      <c r="BJ77" s="704"/>
      <c r="BK77" s="705" t="e">
        <f>IF(BR77&gt;0,CHOOSE(MATCH(RegimeExecucao,{"Unitário","Global"},0),IF($A77="S",BR77/BN77,""),(BR77/BN77)*100),"")</f>
        <v>#REF!</v>
      </c>
      <c r="BL77" s="706"/>
      <c r="BM77" s="707"/>
      <c r="BN77" s="708" t="e">
        <f>IF(BR77&gt;0,CHOOSE(MATCH(RegimeExecucao,{"Unitário","Global"},0),IF($A77="S",ROUND(P77,arredunit),""),ROUND(R77,arredtot)),"")</f>
        <v>#REF!</v>
      </c>
      <c r="BO77" s="709"/>
      <c r="BP77" s="709"/>
      <c r="BQ77" s="710"/>
      <c r="BR77" s="708" t="e">
        <f t="shared" si="26"/>
        <v>#REF!</v>
      </c>
      <c r="BS77" s="709"/>
      <c r="BT77" s="709"/>
      <c r="BU77" s="710"/>
      <c r="BV77" s="711"/>
      <c r="BW77" s="711"/>
      <c r="BX77" s="711"/>
      <c r="BY77" s="711"/>
      <c r="BZ77" s="711"/>
      <c r="CA77" s="712"/>
      <c r="CB77" s="16"/>
      <c r="CC77" s="16"/>
    </row>
    <row r="78" spans="1:81" ht="26.4">
      <c r="A78" s="59" t="str">
        <f t="shared" si="35"/>
        <v>S</v>
      </c>
      <c r="B78" s="59">
        <f t="shared" si="36"/>
        <v>0</v>
      </c>
      <c r="C78" s="59">
        <f t="shared" ca="1" si="27"/>
        <v>11</v>
      </c>
      <c r="D78" s="59">
        <f t="shared" ca="1" si="28"/>
        <v>0</v>
      </c>
      <c r="E78" s="59">
        <f t="shared" ca="1" si="29"/>
        <v>0</v>
      </c>
      <c r="F78" s="59">
        <f t="shared" ca="1" si="30"/>
        <v>0</v>
      </c>
      <c r="G78" s="59">
        <f t="shared" ca="1" si="31"/>
        <v>5</v>
      </c>
      <c r="H78" s="59">
        <f t="shared" ca="1" si="32"/>
        <v>0</v>
      </c>
      <c r="I78" s="59">
        <f t="shared" ca="1" si="33"/>
        <v>0</v>
      </c>
      <c r="J78" s="59">
        <f t="shared" si="34"/>
        <v>1</v>
      </c>
      <c r="K78" s="127" t="s">
        <v>4</v>
      </c>
      <c r="L78" s="165" t="s">
        <v>167</v>
      </c>
      <c r="M78" s="129" t="s">
        <v>168</v>
      </c>
      <c r="N78" s="130" t="s">
        <v>93</v>
      </c>
      <c r="O78" s="131">
        <v>8.9990196078431381</v>
      </c>
      <c r="P78" s="132">
        <v>20.399999999999999</v>
      </c>
      <c r="Q78" s="133">
        <f t="shared" si="37"/>
        <v>0</v>
      </c>
      <c r="R78" s="1">
        <f t="shared" ref="R78:R88" si="43">P78*O78</f>
        <v>183.58</v>
      </c>
      <c r="S78" s="2">
        <f ca="1">IF(AND($A78="S",COUNTIF($Z$10:$AW$10,mediçao-1)&gt;0),SUM(OFFSET($Z78,0,0,1,MATCH(mediçao-1,$Z$10:$AW$10,0))),IF(AND(RegimeExecucao="Global",$R78&gt;0,COUNTIF($Z$10:$AW$10,mediçao-1)&gt;0),V78/$R78*100,0))</f>
        <v>0</v>
      </c>
      <c r="T78" s="3">
        <f t="shared" si="24"/>
        <v>0</v>
      </c>
      <c r="U78" s="4">
        <f t="shared" ref="U78:U88" ca="1" si="44">S78+T78</f>
        <v>0</v>
      </c>
      <c r="V78" s="5"/>
      <c r="W78" s="6">
        <f t="shared" si="25"/>
        <v>0</v>
      </c>
      <c r="X78" s="7">
        <f t="shared" ref="X78:X88" si="45">V78+W78</f>
        <v>0</v>
      </c>
      <c r="Y78" s="134"/>
      <c r="Z78" s="135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7"/>
      <c r="AL78" s="135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7"/>
      <c r="AX78" s="16"/>
      <c r="AY78" s="138">
        <v>0</v>
      </c>
      <c r="AZ78" s="8">
        <f t="shared" si="38"/>
        <v>0</v>
      </c>
      <c r="BA78" s="139">
        <v>0</v>
      </c>
      <c r="BB78" s="9" t="e">
        <f>IF($A78="S",VTOTAL,IF($A78=0,0,ROUND(SomaAgrup,arredtot)))</f>
        <v>#REF!</v>
      </c>
      <c r="BC78" s="10" t="e">
        <f t="shared" si="39"/>
        <v>#REF!</v>
      </c>
      <c r="BD78" s="11" t="e">
        <f>IF($A78="S",VTOTAL,IF($A78=0,0,ROUND(SomaAgrup,arredtot)))</f>
        <v>#REF!</v>
      </c>
      <c r="BF78" s="701" t="e">
        <f t="shared" si="40"/>
        <v>#REF!</v>
      </c>
      <c r="BG78" s="702"/>
      <c r="BH78" s="12" t="e">
        <f t="shared" si="41"/>
        <v>#REF!</v>
      </c>
      <c r="BI78" s="703" t="e">
        <f t="shared" si="42"/>
        <v>#REF!</v>
      </c>
      <c r="BJ78" s="704"/>
      <c r="BK78" s="705" t="e">
        <f>IF(BR78&gt;0,CHOOSE(MATCH(RegimeExecucao,{"Unitário","Global"},0),IF($A78="S",BR78/BN78,""),(BR78/BN78)*100),"")</f>
        <v>#REF!</v>
      </c>
      <c r="BL78" s="706"/>
      <c r="BM78" s="707"/>
      <c r="BN78" s="708" t="e">
        <f>IF(BR78&gt;0,CHOOSE(MATCH(RegimeExecucao,{"Unitário","Global"},0),IF($A78="S",ROUND(P78,arredunit),""),ROUND(R78,arredtot)),"")</f>
        <v>#REF!</v>
      </c>
      <c r="BO78" s="709"/>
      <c r="BP78" s="709"/>
      <c r="BQ78" s="710"/>
      <c r="BR78" s="708" t="e">
        <f t="shared" si="26"/>
        <v>#REF!</v>
      </c>
      <c r="BS78" s="709"/>
      <c r="BT78" s="709"/>
      <c r="BU78" s="710"/>
      <c r="BV78" s="711"/>
      <c r="BW78" s="711"/>
      <c r="BX78" s="711"/>
      <c r="BY78" s="711"/>
      <c r="BZ78" s="711"/>
      <c r="CA78" s="712"/>
      <c r="CB78" s="16"/>
      <c r="CC78" s="16"/>
    </row>
    <row r="79" spans="1:81" ht="26.4">
      <c r="A79" s="59" t="str">
        <f t="shared" si="35"/>
        <v>S</v>
      </c>
      <c r="B79" s="59">
        <f t="shared" si="36"/>
        <v>0</v>
      </c>
      <c r="C79" s="59">
        <f t="shared" ca="1" si="27"/>
        <v>11</v>
      </c>
      <c r="D79" s="59">
        <f t="shared" ca="1" si="28"/>
        <v>0</v>
      </c>
      <c r="E79" s="59">
        <f t="shared" ca="1" si="29"/>
        <v>0</v>
      </c>
      <c r="F79" s="59">
        <f t="shared" ca="1" si="30"/>
        <v>0</v>
      </c>
      <c r="G79" s="59">
        <f t="shared" ca="1" si="31"/>
        <v>6</v>
      </c>
      <c r="H79" s="59">
        <f t="shared" ca="1" si="32"/>
        <v>0</v>
      </c>
      <c r="I79" s="59">
        <f t="shared" ca="1" si="33"/>
        <v>0</v>
      </c>
      <c r="J79" s="59">
        <f t="shared" si="34"/>
        <v>1</v>
      </c>
      <c r="K79" s="127" t="s">
        <v>4</v>
      </c>
      <c r="L79" s="165" t="s">
        <v>169</v>
      </c>
      <c r="M79" s="129" t="s">
        <v>170</v>
      </c>
      <c r="N79" s="130" t="s">
        <v>93</v>
      </c>
      <c r="O79" s="131">
        <v>8.0000804812780419</v>
      </c>
      <c r="P79" s="132">
        <v>497.01</v>
      </c>
      <c r="Q79" s="133">
        <f t="shared" si="37"/>
        <v>0</v>
      </c>
      <c r="R79" s="1">
        <f t="shared" si="43"/>
        <v>3976.1199999999994</v>
      </c>
      <c r="S79" s="2">
        <f ca="1">IF(AND($A79="S",COUNTIF($Z$10:$AW$10,mediçao-1)&gt;0),SUM(OFFSET($Z79,0,0,1,MATCH(mediçao-1,$Z$10:$AW$10,0))),IF(AND(RegimeExecucao="Global",$R79&gt;0,COUNTIF($Z$10:$AW$10,mediçao-1)&gt;0),V79/$R79*100,0))</f>
        <v>0</v>
      </c>
      <c r="T79" s="3">
        <f t="shared" ref="T79:T88" si="46">Z79</f>
        <v>0</v>
      </c>
      <c r="U79" s="4">
        <f t="shared" ca="1" si="44"/>
        <v>0</v>
      </c>
      <c r="V79" s="5"/>
      <c r="W79" s="6">
        <f t="shared" ref="W79:W88" si="47">IF(O79-Z79&gt;0.01,Z79*P79,R79)</f>
        <v>0</v>
      </c>
      <c r="X79" s="7">
        <f t="shared" si="45"/>
        <v>0</v>
      </c>
      <c r="Y79" s="134"/>
      <c r="Z79" s="135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7"/>
      <c r="AL79" s="135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7"/>
      <c r="AX79" s="16"/>
      <c r="AY79" s="138">
        <v>0</v>
      </c>
      <c r="AZ79" s="8">
        <f t="shared" si="38"/>
        <v>0</v>
      </c>
      <c r="BA79" s="139">
        <v>0</v>
      </c>
      <c r="BB79" s="9" t="e">
        <f>IF($A79="S",VTOTAL,IF($A79=0,0,ROUND(SomaAgrup,arredtot)))</f>
        <v>#REF!</v>
      </c>
      <c r="BC79" s="10" t="e">
        <f t="shared" si="39"/>
        <v>#REF!</v>
      </c>
      <c r="BD79" s="11" t="e">
        <f>IF($A79="S",VTOTAL,IF($A79=0,0,ROUND(SomaAgrup,arredtot)))</f>
        <v>#REF!</v>
      </c>
      <c r="BF79" s="701" t="e">
        <f t="shared" si="40"/>
        <v>#REF!</v>
      </c>
      <c r="BG79" s="702"/>
      <c r="BH79" s="12" t="e">
        <f t="shared" si="41"/>
        <v>#REF!</v>
      </c>
      <c r="BI79" s="703" t="e">
        <f t="shared" si="42"/>
        <v>#REF!</v>
      </c>
      <c r="BJ79" s="704"/>
      <c r="BK79" s="705" t="e">
        <f>IF(BR79&gt;0,CHOOSE(MATCH(RegimeExecucao,{"Unitário","Global"},0),IF($A79="S",BR79/BN79,""),(BR79/BN79)*100),"")</f>
        <v>#REF!</v>
      </c>
      <c r="BL79" s="706"/>
      <c r="BM79" s="707"/>
      <c r="BN79" s="708" t="e">
        <f>IF(BR79&gt;0,CHOOSE(MATCH(RegimeExecucao,{"Unitário","Global"},0),IF($A79="S",ROUND(P79,arredunit),""),ROUND(R79,arredtot)),"")</f>
        <v>#REF!</v>
      </c>
      <c r="BO79" s="709"/>
      <c r="BP79" s="709"/>
      <c r="BQ79" s="710"/>
      <c r="BR79" s="708" t="e">
        <f t="shared" si="26"/>
        <v>#REF!</v>
      </c>
      <c r="BS79" s="709"/>
      <c r="BT79" s="709"/>
      <c r="BU79" s="710"/>
      <c r="BV79" s="711"/>
      <c r="BW79" s="711"/>
      <c r="BX79" s="711"/>
      <c r="BY79" s="711"/>
      <c r="BZ79" s="711"/>
      <c r="CA79" s="712"/>
      <c r="CB79" s="16"/>
      <c r="CC79" s="16"/>
    </row>
    <row r="80" spans="1:81" ht="26.4">
      <c r="A80" s="59" t="str">
        <f t="shared" si="35"/>
        <v>S</v>
      </c>
      <c r="B80" s="59">
        <f t="shared" si="36"/>
        <v>0</v>
      </c>
      <c r="C80" s="59">
        <f t="shared" ca="1" si="27"/>
        <v>11</v>
      </c>
      <c r="D80" s="59">
        <f t="shared" ca="1" si="28"/>
        <v>0</v>
      </c>
      <c r="E80" s="59">
        <f t="shared" ca="1" si="29"/>
        <v>0</v>
      </c>
      <c r="F80" s="59">
        <f t="shared" ca="1" si="30"/>
        <v>0</v>
      </c>
      <c r="G80" s="59">
        <f t="shared" ca="1" si="31"/>
        <v>7</v>
      </c>
      <c r="H80" s="59">
        <f t="shared" ca="1" si="32"/>
        <v>0</v>
      </c>
      <c r="I80" s="59">
        <f t="shared" ca="1" si="33"/>
        <v>0</v>
      </c>
      <c r="J80" s="59">
        <f t="shared" si="34"/>
        <v>1</v>
      </c>
      <c r="K80" s="127" t="s">
        <v>4</v>
      </c>
      <c r="L80" s="165" t="s">
        <v>171</v>
      </c>
      <c r="M80" s="129" t="s">
        <v>172</v>
      </c>
      <c r="N80" s="130" t="s">
        <v>93</v>
      </c>
      <c r="O80" s="131">
        <v>8</v>
      </c>
      <c r="P80" s="132">
        <v>6.9612499999999997</v>
      </c>
      <c r="Q80" s="133">
        <f t="shared" si="37"/>
        <v>0</v>
      </c>
      <c r="R80" s="1">
        <f t="shared" si="43"/>
        <v>55.69</v>
      </c>
      <c r="S80" s="2">
        <f ca="1">IF(AND($A80="S",COUNTIF($Z$10:$AW$10,mediçao-1)&gt;0),SUM(OFFSET($Z80,0,0,1,MATCH(mediçao-1,$Z$10:$AW$10,0))),IF(AND(RegimeExecucao="Global",$R80&gt;0,COUNTIF($Z$10:$AW$10,mediçao-1)&gt;0),V80/$R80*100,0))</f>
        <v>0</v>
      </c>
      <c r="T80" s="3">
        <f t="shared" si="46"/>
        <v>0</v>
      </c>
      <c r="U80" s="4">
        <f t="shared" ca="1" si="44"/>
        <v>0</v>
      </c>
      <c r="V80" s="5"/>
      <c r="W80" s="6">
        <f t="shared" si="47"/>
        <v>0</v>
      </c>
      <c r="X80" s="7">
        <f t="shared" si="45"/>
        <v>0</v>
      </c>
      <c r="Y80" s="134"/>
      <c r="Z80" s="135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7"/>
      <c r="AL80" s="135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7"/>
      <c r="AX80" s="16"/>
      <c r="AY80" s="138">
        <v>0</v>
      </c>
      <c r="AZ80" s="8">
        <f t="shared" si="38"/>
        <v>0</v>
      </c>
      <c r="BA80" s="139">
        <v>0</v>
      </c>
      <c r="BB80" s="9" t="e">
        <f>IF($A80="S",VTOTAL,IF($A80=0,0,ROUND(SomaAgrup,arredtot)))</f>
        <v>#REF!</v>
      </c>
      <c r="BC80" s="10" t="e">
        <f t="shared" si="39"/>
        <v>#REF!</v>
      </c>
      <c r="BD80" s="11" t="e">
        <f>IF($A80="S",VTOTAL,IF($A80=0,0,ROUND(SomaAgrup,arredtot)))</f>
        <v>#REF!</v>
      </c>
      <c r="BF80" s="701" t="e">
        <f t="shared" si="40"/>
        <v>#REF!</v>
      </c>
      <c r="BG80" s="702"/>
      <c r="BH80" s="12" t="e">
        <f t="shared" si="41"/>
        <v>#REF!</v>
      </c>
      <c r="BI80" s="703" t="e">
        <f t="shared" si="42"/>
        <v>#REF!</v>
      </c>
      <c r="BJ80" s="704"/>
      <c r="BK80" s="705" t="e">
        <f>IF(BR80&gt;0,CHOOSE(MATCH(RegimeExecucao,{"Unitário","Global"},0),IF($A80="S",BR80/BN80,""),(BR80/BN80)*100),"")</f>
        <v>#REF!</v>
      </c>
      <c r="BL80" s="706"/>
      <c r="BM80" s="707"/>
      <c r="BN80" s="708" t="e">
        <f>IF(BR80&gt;0,CHOOSE(MATCH(RegimeExecucao,{"Unitário","Global"},0),IF($A80="S",ROUND(P80,arredunit),""),ROUND(R80,arredtot)),"")</f>
        <v>#REF!</v>
      </c>
      <c r="BO80" s="709"/>
      <c r="BP80" s="709"/>
      <c r="BQ80" s="710"/>
      <c r="BR80" s="708" t="e">
        <f t="shared" si="26"/>
        <v>#REF!</v>
      </c>
      <c r="BS80" s="709"/>
      <c r="BT80" s="709"/>
      <c r="BU80" s="710"/>
      <c r="BV80" s="711"/>
      <c r="BW80" s="711"/>
      <c r="BX80" s="711"/>
      <c r="BY80" s="711"/>
      <c r="BZ80" s="711"/>
      <c r="CA80" s="712"/>
      <c r="CB80" s="16"/>
      <c r="CC80" s="16"/>
    </row>
    <row r="81" spans="1:81" ht="26.4">
      <c r="A81" s="59" t="str">
        <f t="shared" si="35"/>
        <v>S</v>
      </c>
      <c r="B81" s="59">
        <f t="shared" si="36"/>
        <v>0</v>
      </c>
      <c r="C81" s="59">
        <f t="shared" ca="1" si="27"/>
        <v>11</v>
      </c>
      <c r="D81" s="59">
        <f t="shared" ca="1" si="28"/>
        <v>0</v>
      </c>
      <c r="E81" s="59">
        <f t="shared" ca="1" si="29"/>
        <v>0</v>
      </c>
      <c r="F81" s="59">
        <f t="shared" ca="1" si="30"/>
        <v>0</v>
      </c>
      <c r="G81" s="59">
        <f t="shared" ca="1" si="31"/>
        <v>8</v>
      </c>
      <c r="H81" s="59">
        <f t="shared" ca="1" si="32"/>
        <v>0</v>
      </c>
      <c r="I81" s="59">
        <f t="shared" ca="1" si="33"/>
        <v>0</v>
      </c>
      <c r="J81" s="59">
        <f t="shared" si="34"/>
        <v>1</v>
      </c>
      <c r="K81" s="127" t="s">
        <v>4</v>
      </c>
      <c r="L81" s="165" t="s">
        <v>173</v>
      </c>
      <c r="M81" s="129" t="s">
        <v>174</v>
      </c>
      <c r="N81" s="130" t="s">
        <v>93</v>
      </c>
      <c r="O81" s="131">
        <v>11.000419815281276</v>
      </c>
      <c r="P81" s="132">
        <v>23.82</v>
      </c>
      <c r="Q81" s="133">
        <f t="shared" si="37"/>
        <v>0</v>
      </c>
      <c r="R81" s="1">
        <f t="shared" si="43"/>
        <v>262.03000000000003</v>
      </c>
      <c r="S81" s="2">
        <f ca="1">IF(AND($A81="S",COUNTIF($Z$10:$AW$10,mediçao-1)&gt;0),SUM(OFFSET($Z81,0,0,1,MATCH(mediçao-1,$Z$10:$AW$10,0))),IF(AND(RegimeExecucao="Global",$R81&gt;0,COUNTIF($Z$10:$AW$10,mediçao-1)&gt;0),V81/$R81*100,0))</f>
        <v>0</v>
      </c>
      <c r="T81" s="3">
        <f t="shared" si="46"/>
        <v>0</v>
      </c>
      <c r="U81" s="4">
        <f t="shared" ca="1" si="44"/>
        <v>0</v>
      </c>
      <c r="V81" s="5"/>
      <c r="W81" s="6">
        <f t="shared" si="47"/>
        <v>0</v>
      </c>
      <c r="X81" s="7">
        <f t="shared" si="45"/>
        <v>0</v>
      </c>
      <c r="Y81" s="134"/>
      <c r="Z81" s="135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7"/>
      <c r="AL81" s="135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7"/>
      <c r="AX81" s="16"/>
      <c r="AY81" s="138">
        <v>0</v>
      </c>
      <c r="AZ81" s="8">
        <f t="shared" si="38"/>
        <v>0</v>
      </c>
      <c r="BA81" s="139">
        <v>0</v>
      </c>
      <c r="BB81" s="9" t="e">
        <f>IF($A81="S",VTOTAL,IF($A81=0,0,ROUND(SomaAgrup,arredtot)))</f>
        <v>#REF!</v>
      </c>
      <c r="BC81" s="10" t="e">
        <f t="shared" si="39"/>
        <v>#REF!</v>
      </c>
      <c r="BD81" s="11" t="e">
        <f>IF($A81="S",VTOTAL,IF($A81=0,0,ROUND(SomaAgrup,arredtot)))</f>
        <v>#REF!</v>
      </c>
      <c r="BF81" s="701" t="e">
        <f t="shared" si="40"/>
        <v>#REF!</v>
      </c>
      <c r="BG81" s="702"/>
      <c r="BH81" s="12" t="e">
        <f t="shared" si="41"/>
        <v>#REF!</v>
      </c>
      <c r="BI81" s="703" t="e">
        <f t="shared" si="42"/>
        <v>#REF!</v>
      </c>
      <c r="BJ81" s="704"/>
      <c r="BK81" s="705" t="e">
        <f>IF(BR81&gt;0,CHOOSE(MATCH(RegimeExecucao,{"Unitário","Global"},0),IF($A81="S",BR81/BN81,""),(BR81/BN81)*100),"")</f>
        <v>#REF!</v>
      </c>
      <c r="BL81" s="706"/>
      <c r="BM81" s="707"/>
      <c r="BN81" s="708" t="e">
        <f>IF(BR81&gt;0,CHOOSE(MATCH(RegimeExecucao,{"Unitário","Global"},0),IF($A81="S",ROUND(P81,arredunit),""),ROUND(R81,arredtot)),"")</f>
        <v>#REF!</v>
      </c>
      <c r="BO81" s="709"/>
      <c r="BP81" s="709"/>
      <c r="BQ81" s="710"/>
      <c r="BR81" s="708" t="e">
        <f t="shared" si="26"/>
        <v>#REF!</v>
      </c>
      <c r="BS81" s="709"/>
      <c r="BT81" s="709"/>
      <c r="BU81" s="710"/>
      <c r="BV81" s="711"/>
      <c r="BW81" s="711"/>
      <c r="BX81" s="711"/>
      <c r="BY81" s="711"/>
      <c r="BZ81" s="711"/>
      <c r="CA81" s="712"/>
      <c r="CB81" s="16"/>
      <c r="CC81" s="16"/>
    </row>
    <row r="82" spans="1:81" ht="39.6">
      <c r="A82" s="59" t="str">
        <f t="shared" si="35"/>
        <v>S</v>
      </c>
      <c r="B82" s="59">
        <f t="shared" si="36"/>
        <v>0</v>
      </c>
      <c r="C82" s="59">
        <f t="shared" ca="1" si="27"/>
        <v>11</v>
      </c>
      <c r="D82" s="59">
        <f t="shared" ca="1" si="28"/>
        <v>0</v>
      </c>
      <c r="E82" s="59">
        <f t="shared" ca="1" si="29"/>
        <v>0</v>
      </c>
      <c r="F82" s="59">
        <f t="shared" ca="1" si="30"/>
        <v>0</v>
      </c>
      <c r="G82" s="59">
        <f t="shared" ca="1" si="31"/>
        <v>9</v>
      </c>
      <c r="H82" s="59">
        <f t="shared" ca="1" si="32"/>
        <v>0</v>
      </c>
      <c r="I82" s="59">
        <f t="shared" ca="1" si="33"/>
        <v>0</v>
      </c>
      <c r="J82" s="59">
        <f t="shared" si="34"/>
        <v>1</v>
      </c>
      <c r="K82" s="127" t="s">
        <v>4</v>
      </c>
      <c r="L82" s="165" t="s">
        <v>175</v>
      </c>
      <c r="M82" s="129" t="s">
        <v>176</v>
      </c>
      <c r="N82" s="130" t="s">
        <v>93</v>
      </c>
      <c r="O82" s="131">
        <v>3</v>
      </c>
      <c r="P82" s="132">
        <v>159.63999999999999</v>
      </c>
      <c r="Q82" s="133">
        <f t="shared" si="37"/>
        <v>0</v>
      </c>
      <c r="R82" s="1">
        <f t="shared" si="43"/>
        <v>478.91999999999996</v>
      </c>
      <c r="S82" s="2">
        <f ca="1">IF(AND($A82="S",COUNTIF($Z$10:$AW$10,mediçao-1)&gt;0),SUM(OFFSET($Z82,0,0,1,MATCH(mediçao-1,$Z$10:$AW$10,0))),IF(AND(RegimeExecucao="Global",$R82&gt;0,COUNTIF($Z$10:$AW$10,mediçao-1)&gt;0),V82/$R82*100,0))</f>
        <v>0</v>
      </c>
      <c r="T82" s="3">
        <f t="shared" si="46"/>
        <v>0</v>
      </c>
      <c r="U82" s="4">
        <f t="shared" ca="1" si="44"/>
        <v>0</v>
      </c>
      <c r="V82" s="5"/>
      <c r="W82" s="6">
        <f t="shared" si="47"/>
        <v>0</v>
      </c>
      <c r="X82" s="7">
        <f t="shared" si="45"/>
        <v>0</v>
      </c>
      <c r="Y82" s="134"/>
      <c r="Z82" s="135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7"/>
      <c r="AL82" s="135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7"/>
      <c r="AX82" s="16"/>
      <c r="AY82" s="138">
        <v>0</v>
      </c>
      <c r="AZ82" s="8">
        <f t="shared" si="38"/>
        <v>0</v>
      </c>
      <c r="BA82" s="139">
        <v>0</v>
      </c>
      <c r="BB82" s="9" t="e">
        <f>IF($A82="S",VTOTAL,IF($A82=0,0,ROUND(SomaAgrup,arredtot)))</f>
        <v>#REF!</v>
      </c>
      <c r="BC82" s="10" t="e">
        <f t="shared" si="39"/>
        <v>#REF!</v>
      </c>
      <c r="BD82" s="11" t="e">
        <f>IF($A82="S",VTOTAL,IF($A82=0,0,ROUND(SomaAgrup,arredtot)))</f>
        <v>#REF!</v>
      </c>
      <c r="BF82" s="701" t="e">
        <f t="shared" si="40"/>
        <v>#REF!</v>
      </c>
      <c r="BG82" s="702"/>
      <c r="BH82" s="12" t="e">
        <f t="shared" si="41"/>
        <v>#REF!</v>
      </c>
      <c r="BI82" s="703" t="e">
        <f t="shared" si="42"/>
        <v>#REF!</v>
      </c>
      <c r="BJ82" s="704"/>
      <c r="BK82" s="705" t="e">
        <f>IF(BR82&gt;0,CHOOSE(MATCH(RegimeExecucao,{"Unitário","Global"},0),IF($A82="S",BR82/BN82,""),(BR82/BN82)*100),"")</f>
        <v>#REF!</v>
      </c>
      <c r="BL82" s="706"/>
      <c r="BM82" s="707"/>
      <c r="BN82" s="708" t="e">
        <f>IF(BR82&gt;0,CHOOSE(MATCH(RegimeExecucao,{"Unitário","Global"},0),IF($A82="S",ROUND(P82,arredunit),""),ROUND(R82,arredtot)),"")</f>
        <v>#REF!</v>
      </c>
      <c r="BO82" s="709"/>
      <c r="BP82" s="709"/>
      <c r="BQ82" s="710"/>
      <c r="BR82" s="708" t="e">
        <f t="shared" si="26"/>
        <v>#REF!</v>
      </c>
      <c r="BS82" s="709"/>
      <c r="BT82" s="709"/>
      <c r="BU82" s="710"/>
      <c r="BV82" s="711"/>
      <c r="BW82" s="711"/>
      <c r="BX82" s="711"/>
      <c r="BY82" s="711"/>
      <c r="BZ82" s="711"/>
      <c r="CA82" s="712"/>
      <c r="CB82" s="16"/>
      <c r="CC82" s="16"/>
    </row>
    <row r="83" spans="1:81">
      <c r="A83" s="59">
        <f t="shared" si="35"/>
        <v>1</v>
      </c>
      <c r="B83" s="59">
        <f t="shared" ca="1" si="36"/>
        <v>2</v>
      </c>
      <c r="C83" s="59">
        <f t="shared" ca="1" si="27"/>
        <v>12</v>
      </c>
      <c r="D83" s="59">
        <f t="shared" ca="1" si="28"/>
        <v>0</v>
      </c>
      <c r="E83" s="59">
        <f t="shared" ca="1" si="29"/>
        <v>0</v>
      </c>
      <c r="F83" s="59">
        <f t="shared" ca="1" si="30"/>
        <v>0</v>
      </c>
      <c r="G83" s="59">
        <f t="shared" ca="1" si="31"/>
        <v>0</v>
      </c>
      <c r="H83" s="59">
        <f t="shared" ca="1" si="32"/>
        <v>6</v>
      </c>
      <c r="I83" s="59">
        <f t="shared" ca="1" si="33"/>
        <v>2</v>
      </c>
      <c r="J83" s="59">
        <f t="shared" si="34"/>
        <v>0</v>
      </c>
      <c r="K83" s="127" t="str">
        <f>CHOOSE(1+LOG(1+2*($J83=3)+4*($J83=2)+8*($J83=1)+16*(AND($L83&lt;&gt;"",$L83&lt;&gt;0,$J83=0))+32*OR($N83&lt;&gt;"",RegimeExecucao="Global",AND($L83="",$M83="",$N83="")),2),"","Nível 4","Nível 3","Nível 2","Meta","Serviço")</f>
        <v>Meta</v>
      </c>
      <c r="L83" s="128">
        <v>12</v>
      </c>
      <c r="M83" s="129" t="s">
        <v>177</v>
      </c>
      <c r="N83" s="130"/>
      <c r="O83" s="131"/>
      <c r="P83" s="132"/>
      <c r="Q83" s="133">
        <f t="shared" si="37"/>
        <v>14838.84</v>
      </c>
      <c r="R83" s="1">
        <f>R84</f>
        <v>14838.84</v>
      </c>
      <c r="S83" s="2">
        <f ca="1">IF(AND($A83="S",COUNTIF($Z$10:$AW$10,mediçao-1)&gt;0),SUM(OFFSET($Z83,0,0,1,MATCH(mediçao-1,$Z$10:$AW$10,0))),IF(AND(RegimeExecucao="Global",$R83&gt;0,COUNTIF($Z$10:$AW$10,mediçao-1)&gt;0),V83/$R83*100,0))</f>
        <v>0</v>
      </c>
      <c r="T83" s="3">
        <f t="shared" si="46"/>
        <v>0</v>
      </c>
      <c r="U83" s="4">
        <f t="shared" ca="1" si="44"/>
        <v>0</v>
      </c>
      <c r="V83" s="1">
        <f>V84</f>
        <v>0</v>
      </c>
      <c r="W83" s="1">
        <f>W84</f>
        <v>0</v>
      </c>
      <c r="X83" s="7">
        <f t="shared" si="45"/>
        <v>0</v>
      </c>
      <c r="Y83" s="134"/>
      <c r="Z83" s="135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7"/>
      <c r="AL83" s="135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7"/>
      <c r="AX83" s="16"/>
      <c r="AY83" s="138">
        <v>0</v>
      </c>
      <c r="AZ83" s="8">
        <f t="shared" si="38"/>
        <v>0</v>
      </c>
      <c r="BA83" s="139">
        <v>0</v>
      </c>
      <c r="BB83" s="9" t="e">
        <f ca="1">IF($A83="S",VTOTAL,IF($A83=0,0,ROUND(SomaAgrup,arredtot)))</f>
        <v>#REF!</v>
      </c>
      <c r="BC83" s="10" t="e">
        <f t="shared" ca="1" si="39"/>
        <v>#REF!</v>
      </c>
      <c r="BD83" s="11" t="e">
        <f ca="1">IF($A83="S",VTOTAL,IF($A83=0,0,ROUND(SomaAgrup,arredtot)))</f>
        <v>#REF!</v>
      </c>
      <c r="BF83" s="701" t="e">
        <f t="shared" ca="1" si="40"/>
        <v>#REF!</v>
      </c>
      <c r="BG83" s="702"/>
      <c r="BH83" s="12" t="e">
        <f t="shared" ca="1" si="41"/>
        <v>#REF!</v>
      </c>
      <c r="BI83" s="703" t="e">
        <f t="shared" ca="1" si="42"/>
        <v>#REF!</v>
      </c>
      <c r="BJ83" s="704"/>
      <c r="BK83" s="705" t="e">
        <f ca="1">IF(BR83&gt;0,CHOOSE(MATCH(RegimeExecucao,{"Unitário","Global"},0),IF($A83="S",BR83/BN83,""),(BR83/BN83)*100),"")</f>
        <v>#REF!</v>
      </c>
      <c r="BL83" s="706"/>
      <c r="BM83" s="707"/>
      <c r="BN83" s="708" t="e">
        <f ca="1">IF(BR83&gt;0,CHOOSE(MATCH(RegimeExecucao,{"Unitário","Global"},0),IF($A83="S",ROUND(P83,arredunit),""),ROUND(R83,arredtot)),"")</f>
        <v>#REF!</v>
      </c>
      <c r="BO83" s="709"/>
      <c r="BP83" s="709"/>
      <c r="BQ83" s="710"/>
      <c r="BR83" s="708" t="e">
        <f t="shared" ca="1" si="26"/>
        <v>#REF!</v>
      </c>
      <c r="BS83" s="709"/>
      <c r="BT83" s="709"/>
      <c r="BU83" s="710"/>
      <c r="BV83" s="711"/>
      <c r="BW83" s="711"/>
      <c r="BX83" s="711"/>
      <c r="BY83" s="711"/>
      <c r="BZ83" s="711"/>
      <c r="CA83" s="712"/>
      <c r="CB83" s="16"/>
      <c r="CC83" s="16"/>
    </row>
    <row r="84" spans="1:81" ht="66">
      <c r="A84" s="59" t="str">
        <f t="shared" si="35"/>
        <v>S</v>
      </c>
      <c r="B84" s="59">
        <f t="shared" si="36"/>
        <v>0</v>
      </c>
      <c r="C84" s="59">
        <f t="shared" ca="1" si="27"/>
        <v>12</v>
      </c>
      <c r="D84" s="59">
        <f t="shared" ca="1" si="28"/>
        <v>0</v>
      </c>
      <c r="E84" s="59">
        <f t="shared" ca="1" si="29"/>
        <v>0</v>
      </c>
      <c r="F84" s="59">
        <f t="shared" ca="1" si="30"/>
        <v>0</v>
      </c>
      <c r="G84" s="59">
        <f t="shared" ca="1" si="31"/>
        <v>1</v>
      </c>
      <c r="H84" s="59">
        <f t="shared" ca="1" si="32"/>
        <v>0</v>
      </c>
      <c r="I84" s="59">
        <f t="shared" ca="1" si="33"/>
        <v>0</v>
      </c>
      <c r="J84" s="59">
        <f t="shared" si="34"/>
        <v>1</v>
      </c>
      <c r="K84" s="127" t="s">
        <v>4</v>
      </c>
      <c r="L84" s="165" t="s">
        <v>178</v>
      </c>
      <c r="M84" s="129" t="s">
        <v>179</v>
      </c>
      <c r="N84" s="130" t="s">
        <v>59</v>
      </c>
      <c r="O84" s="131">
        <v>35.300314016557238</v>
      </c>
      <c r="P84" s="132">
        <v>420.36</v>
      </c>
      <c r="Q84" s="133">
        <f t="shared" si="37"/>
        <v>0</v>
      </c>
      <c r="R84" s="1">
        <f t="shared" si="43"/>
        <v>14838.84</v>
      </c>
      <c r="S84" s="2">
        <f ca="1">IF(AND($A84="S",COUNTIF($Z$10:$AW$10,mediçao-1)&gt;0),SUM(OFFSET($Z84,0,0,1,MATCH(mediçao-1,$Z$10:$AW$10,0))),IF(AND(RegimeExecucao="Global",$R84&gt;0,COUNTIF($Z$10:$AW$10,mediçao-1)&gt;0),V84/$R84*100,0))</f>
        <v>0</v>
      </c>
      <c r="T84" s="3">
        <f t="shared" si="46"/>
        <v>0</v>
      </c>
      <c r="U84" s="4">
        <f t="shared" ca="1" si="44"/>
        <v>0</v>
      </c>
      <c r="V84" s="5"/>
      <c r="W84" s="6">
        <f t="shared" si="47"/>
        <v>0</v>
      </c>
      <c r="X84" s="7">
        <f t="shared" si="45"/>
        <v>0</v>
      </c>
      <c r="Y84" s="134"/>
      <c r="Z84" s="135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7"/>
      <c r="AL84" s="135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7"/>
      <c r="AX84" s="16"/>
      <c r="AY84" s="138">
        <v>0</v>
      </c>
      <c r="AZ84" s="8">
        <f t="shared" si="38"/>
        <v>0</v>
      </c>
      <c r="BA84" s="139">
        <v>0</v>
      </c>
      <c r="BB84" s="9" t="e">
        <f>IF($A84="S",VTOTAL,IF($A84=0,0,ROUND(SomaAgrup,arredtot)))</f>
        <v>#REF!</v>
      </c>
      <c r="BC84" s="10" t="e">
        <f t="shared" si="39"/>
        <v>#REF!</v>
      </c>
      <c r="BD84" s="11" t="e">
        <f>IF($A84="S",VTOTAL,IF($A84=0,0,ROUND(SomaAgrup,arredtot)))</f>
        <v>#REF!</v>
      </c>
      <c r="BF84" s="701" t="e">
        <f t="shared" si="40"/>
        <v>#REF!</v>
      </c>
      <c r="BG84" s="702"/>
      <c r="BH84" s="12" t="e">
        <f t="shared" si="41"/>
        <v>#REF!</v>
      </c>
      <c r="BI84" s="703" t="e">
        <f t="shared" si="42"/>
        <v>#REF!</v>
      </c>
      <c r="BJ84" s="704"/>
      <c r="BK84" s="705" t="e">
        <f>IF(BR84&gt;0,CHOOSE(MATCH(RegimeExecucao,{"Unitário","Global"},0),IF($A84="S",BR84/BN84,""),(BR84/BN84)*100),"")</f>
        <v>#REF!</v>
      </c>
      <c r="BL84" s="706"/>
      <c r="BM84" s="707"/>
      <c r="BN84" s="708" t="e">
        <f>IF(BR84&gt;0,CHOOSE(MATCH(RegimeExecucao,{"Unitário","Global"},0),IF($A84="S",ROUND(P84,arredunit),""),ROUND(R84,arredtot)),"")</f>
        <v>#REF!</v>
      </c>
      <c r="BO84" s="709"/>
      <c r="BP84" s="709"/>
      <c r="BQ84" s="710"/>
      <c r="BR84" s="708" t="e">
        <f t="shared" si="26"/>
        <v>#REF!</v>
      </c>
      <c r="BS84" s="709"/>
      <c r="BT84" s="709"/>
      <c r="BU84" s="710"/>
      <c r="BV84" s="711"/>
      <c r="BW84" s="711"/>
      <c r="BX84" s="711"/>
      <c r="BY84" s="711"/>
      <c r="BZ84" s="711"/>
      <c r="CA84" s="712"/>
      <c r="CB84" s="16"/>
      <c r="CC84" s="16"/>
    </row>
    <row r="85" spans="1:81">
      <c r="A85" s="59">
        <f t="shared" si="35"/>
        <v>1</v>
      </c>
      <c r="B85" s="59">
        <f t="shared" ca="1" si="36"/>
        <v>4</v>
      </c>
      <c r="C85" s="59">
        <f t="shared" ca="1" si="27"/>
        <v>13</v>
      </c>
      <c r="D85" s="59">
        <f t="shared" ca="1" si="28"/>
        <v>0</v>
      </c>
      <c r="E85" s="59">
        <f t="shared" ca="1" si="29"/>
        <v>0</v>
      </c>
      <c r="F85" s="59">
        <f t="shared" ca="1" si="30"/>
        <v>0</v>
      </c>
      <c r="G85" s="59">
        <f t="shared" ca="1" si="31"/>
        <v>0</v>
      </c>
      <c r="H85" s="59">
        <f t="shared" ca="1" si="32"/>
        <v>4</v>
      </c>
      <c r="I85" s="59" t="e">
        <f t="shared" ca="1" si="33"/>
        <v>#N/A</v>
      </c>
      <c r="J85" s="59">
        <f t="shared" si="34"/>
        <v>0</v>
      </c>
      <c r="K85" s="127" t="str">
        <f>CHOOSE(1+LOG(1+2*($J85=3)+4*($J85=2)+8*($J85=1)+16*(AND($L85&lt;&gt;"",$L85&lt;&gt;0,$J85=0))+32*OR($N85&lt;&gt;"",RegimeExecucao="Global",AND($L85="",$M85="",$N85="")),2),"","Nível 4","Nível 3","Nível 2","Meta","Serviço")</f>
        <v>Meta</v>
      </c>
      <c r="L85" s="128">
        <v>13</v>
      </c>
      <c r="M85" s="129" t="s">
        <v>180</v>
      </c>
      <c r="N85" s="130"/>
      <c r="O85" s="131"/>
      <c r="P85" s="132"/>
      <c r="Q85" s="133">
        <f t="shared" si="37"/>
        <v>1011.7300000000002</v>
      </c>
      <c r="R85" s="1">
        <f>SUM(R86:R88)</f>
        <v>1011.7300000000002</v>
      </c>
      <c r="S85" s="2">
        <f ca="1">IF(AND($A85="S",COUNTIF($Z$10:$AW$10,mediçao-1)&gt;0),SUM(OFFSET($Z85,0,0,1,MATCH(mediçao-1,$Z$10:$AW$10,0))),IF(AND(RegimeExecucao="Global",$R85&gt;0,COUNTIF($Z$10:$AW$10,mediçao-1)&gt;0),V85/$R85*100,0))</f>
        <v>0</v>
      </c>
      <c r="T85" s="3">
        <f t="shared" si="46"/>
        <v>0</v>
      </c>
      <c r="U85" s="4">
        <f t="shared" ca="1" si="44"/>
        <v>0</v>
      </c>
      <c r="V85" s="1">
        <f>SUM(V86:V88)</f>
        <v>0</v>
      </c>
      <c r="W85" s="1">
        <f>SUM(W86:W88)</f>
        <v>32.595909090909089</v>
      </c>
      <c r="X85" s="7">
        <f t="shared" si="45"/>
        <v>32.595909090909089</v>
      </c>
      <c r="Y85" s="134"/>
      <c r="Z85" s="135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7"/>
      <c r="AL85" s="135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7"/>
      <c r="AX85" s="16"/>
      <c r="AY85" s="138">
        <v>0</v>
      </c>
      <c r="AZ85" s="8">
        <f t="shared" si="38"/>
        <v>0</v>
      </c>
      <c r="BA85" s="139">
        <v>0</v>
      </c>
      <c r="BB85" s="9" t="e">
        <f ca="1">IF($A85="S",VTOTAL,IF($A85=0,0,ROUND(SomaAgrup,arredtot)))</f>
        <v>#REF!</v>
      </c>
      <c r="BC85" s="10" t="e">
        <f t="shared" ca="1" si="39"/>
        <v>#REF!</v>
      </c>
      <c r="BD85" s="11" t="e">
        <f ca="1">IF($A85="S",VTOTAL,IF($A85=0,0,ROUND(SomaAgrup,arredtot)))</f>
        <v>#REF!</v>
      </c>
      <c r="BF85" s="701" t="e">
        <f t="shared" ca="1" si="40"/>
        <v>#REF!</v>
      </c>
      <c r="BG85" s="702"/>
      <c r="BH85" s="12" t="e">
        <f t="shared" ca="1" si="41"/>
        <v>#REF!</v>
      </c>
      <c r="BI85" s="703" t="e">
        <f t="shared" ca="1" si="42"/>
        <v>#REF!</v>
      </c>
      <c r="BJ85" s="704"/>
      <c r="BK85" s="705" t="e">
        <f ca="1">IF(BR85&gt;0,CHOOSE(MATCH(RegimeExecucao,{"Unitário","Global"},0),IF($A85="S",BR85/BN85,""),(BR85/BN85)*100),"")</f>
        <v>#REF!</v>
      </c>
      <c r="BL85" s="706"/>
      <c r="BM85" s="707"/>
      <c r="BN85" s="708" t="e">
        <f ca="1">IF(BR85&gt;0,CHOOSE(MATCH(RegimeExecucao,{"Unitário","Global"},0),IF($A85="S",ROUND(P85,arredunit),""),ROUND(R85,arredtot)),"")</f>
        <v>#REF!</v>
      </c>
      <c r="BO85" s="709"/>
      <c r="BP85" s="709"/>
      <c r="BQ85" s="710"/>
      <c r="BR85" s="708" t="e">
        <f t="shared" ca="1" si="26"/>
        <v>#REF!</v>
      </c>
      <c r="BS85" s="709"/>
      <c r="BT85" s="709"/>
      <c r="BU85" s="710"/>
      <c r="BV85" s="711"/>
      <c r="BW85" s="711"/>
      <c r="BX85" s="711"/>
      <c r="BY85" s="711"/>
      <c r="BZ85" s="711"/>
      <c r="CA85" s="712"/>
      <c r="CB85" s="16"/>
      <c r="CC85" s="16"/>
    </row>
    <row r="86" spans="1:81">
      <c r="A86" s="59" t="str">
        <f t="shared" si="35"/>
        <v>S</v>
      </c>
      <c r="B86" s="59">
        <f t="shared" si="36"/>
        <v>0</v>
      </c>
      <c r="C86" s="59">
        <f t="shared" ca="1" si="27"/>
        <v>13</v>
      </c>
      <c r="D86" s="59">
        <f t="shared" ca="1" si="28"/>
        <v>0</v>
      </c>
      <c r="E86" s="59">
        <f t="shared" ca="1" si="29"/>
        <v>0</v>
      </c>
      <c r="F86" s="59">
        <f t="shared" ca="1" si="30"/>
        <v>0</v>
      </c>
      <c r="G86" s="59">
        <f t="shared" ca="1" si="31"/>
        <v>1</v>
      </c>
      <c r="H86" s="59">
        <f t="shared" ca="1" si="32"/>
        <v>0</v>
      </c>
      <c r="I86" s="59">
        <f t="shared" ca="1" si="33"/>
        <v>0</v>
      </c>
      <c r="J86" s="59">
        <f t="shared" si="34"/>
        <v>1</v>
      </c>
      <c r="K86" s="127" t="s">
        <v>4</v>
      </c>
      <c r="L86" s="165" t="s">
        <v>181</v>
      </c>
      <c r="M86" s="129" t="s">
        <v>182</v>
      </c>
      <c r="N86" s="130" t="s">
        <v>49</v>
      </c>
      <c r="O86" s="131">
        <v>22.001917913310322</v>
      </c>
      <c r="P86" s="132">
        <v>26.07</v>
      </c>
      <c r="Q86" s="133">
        <f t="shared" si="37"/>
        <v>0</v>
      </c>
      <c r="R86" s="1">
        <f t="shared" si="43"/>
        <v>573.59000000000015</v>
      </c>
      <c r="S86" s="2">
        <f ca="1">IF(AND($A86="S",COUNTIF($Z$10:$AW$10,mediçao-1)&gt;0),SUM(OFFSET($Z86,0,0,1,MATCH(mediçao-1,$Z$10:$AW$10,0))),IF(AND(RegimeExecucao="Global",$R86&gt;0,COUNTIF($Z$10:$AW$10,mediçao-1)&gt;0),V86/$R86*100,0))</f>
        <v>0</v>
      </c>
      <c r="T86" s="3">
        <f t="shared" si="46"/>
        <v>1</v>
      </c>
      <c r="U86" s="4">
        <f t="shared" ca="1" si="44"/>
        <v>1</v>
      </c>
      <c r="V86" s="5"/>
      <c r="W86" s="6">
        <f t="shared" si="47"/>
        <v>26.07</v>
      </c>
      <c r="X86" s="7">
        <f t="shared" si="45"/>
        <v>26.07</v>
      </c>
      <c r="Y86" s="134"/>
      <c r="Z86" s="135">
        <v>1</v>
      </c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7"/>
      <c r="AL86" s="135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7"/>
      <c r="AX86" s="16"/>
      <c r="AY86" s="138">
        <v>0</v>
      </c>
      <c r="AZ86" s="8">
        <f t="shared" si="38"/>
        <v>0</v>
      </c>
      <c r="BA86" s="139">
        <v>0</v>
      </c>
      <c r="BB86" s="9" t="e">
        <f>IF($A86="S",VTOTAL,IF($A86=0,0,ROUND(SomaAgrup,arredtot)))</f>
        <v>#REF!</v>
      </c>
      <c r="BC86" s="10" t="e">
        <f t="shared" si="39"/>
        <v>#REF!</v>
      </c>
      <c r="BD86" s="11" t="e">
        <f>IF($A86="S",VTOTAL,IF($A86=0,0,ROUND(SomaAgrup,arredtot)))</f>
        <v>#REF!</v>
      </c>
      <c r="BF86" s="701" t="e">
        <f t="shared" si="40"/>
        <v>#REF!</v>
      </c>
      <c r="BG86" s="702"/>
      <c r="BH86" s="12" t="e">
        <f t="shared" si="41"/>
        <v>#REF!</v>
      </c>
      <c r="BI86" s="703" t="e">
        <f t="shared" si="42"/>
        <v>#REF!</v>
      </c>
      <c r="BJ86" s="704"/>
      <c r="BK86" s="705" t="e">
        <f>IF(BR86&gt;0,CHOOSE(MATCH(RegimeExecucao,{"Unitário","Global"},0),IF($A86="S",BR86/BN86,""),(BR86/BN86)*100),"")</f>
        <v>#REF!</v>
      </c>
      <c r="BL86" s="706"/>
      <c r="BM86" s="707"/>
      <c r="BN86" s="708" t="e">
        <f>IF(BR86&gt;0,CHOOSE(MATCH(RegimeExecucao,{"Unitário","Global"},0),IF($A86="S",ROUND(P86,arredunit),""),ROUND(R86,arredtot)),"")</f>
        <v>#REF!</v>
      </c>
      <c r="BO86" s="709"/>
      <c r="BP86" s="709"/>
      <c r="BQ86" s="710"/>
      <c r="BR86" s="708" t="e">
        <f t="shared" si="26"/>
        <v>#REF!</v>
      </c>
      <c r="BS86" s="709"/>
      <c r="BT86" s="709"/>
      <c r="BU86" s="710"/>
      <c r="BV86" s="711"/>
      <c r="BW86" s="711"/>
      <c r="BX86" s="711"/>
      <c r="BY86" s="711"/>
      <c r="BZ86" s="711"/>
      <c r="CA86" s="712"/>
      <c r="CB86" s="16"/>
      <c r="CC86" s="16"/>
    </row>
    <row r="87" spans="1:81" ht="26.4">
      <c r="A87" s="59" t="str">
        <f t="shared" si="35"/>
        <v>S</v>
      </c>
      <c r="B87" s="59">
        <f t="shared" si="36"/>
        <v>0</v>
      </c>
      <c r="C87" s="59">
        <f t="shared" ca="1" si="27"/>
        <v>13</v>
      </c>
      <c r="D87" s="59">
        <f t="shared" ca="1" si="28"/>
        <v>0</v>
      </c>
      <c r="E87" s="59">
        <f t="shared" ca="1" si="29"/>
        <v>0</v>
      </c>
      <c r="F87" s="59">
        <f t="shared" ca="1" si="30"/>
        <v>0</v>
      </c>
      <c r="G87" s="59">
        <f t="shared" ca="1" si="31"/>
        <v>2</v>
      </c>
      <c r="H87" s="59">
        <f t="shared" ca="1" si="32"/>
        <v>0</v>
      </c>
      <c r="I87" s="59">
        <f t="shared" ca="1" si="33"/>
        <v>0</v>
      </c>
      <c r="J87" s="59">
        <f t="shared" si="34"/>
        <v>1</v>
      </c>
      <c r="K87" s="127" t="s">
        <v>4</v>
      </c>
      <c r="L87" s="165" t="s">
        <v>183</v>
      </c>
      <c r="M87" s="129" t="s">
        <v>184</v>
      </c>
      <c r="N87" s="130" t="s">
        <v>49</v>
      </c>
      <c r="O87" s="131">
        <v>22</v>
      </c>
      <c r="P87" s="132">
        <v>6.5259090909090913</v>
      </c>
      <c r="Q87" s="133">
        <f t="shared" si="37"/>
        <v>0</v>
      </c>
      <c r="R87" s="1">
        <f t="shared" si="43"/>
        <v>143.57000000000002</v>
      </c>
      <c r="S87" s="2">
        <f ca="1">IF(AND($A87="S",COUNTIF($Z$10:$AW$10,mediçao-1)&gt;0),SUM(OFFSET($Z87,0,0,1,MATCH(mediçao-1,$Z$10:$AW$10,0))),IF(AND(RegimeExecucao="Global",$R87&gt;0,COUNTIF($Z$10:$AW$10,mediçao-1)&gt;0),V87/$R87*100,0))</f>
        <v>0</v>
      </c>
      <c r="T87" s="3">
        <f t="shared" si="46"/>
        <v>1</v>
      </c>
      <c r="U87" s="4">
        <f t="shared" ca="1" si="44"/>
        <v>1</v>
      </c>
      <c r="V87" s="5"/>
      <c r="W87" s="6">
        <f t="shared" si="47"/>
        <v>6.5259090909090913</v>
      </c>
      <c r="X87" s="7">
        <f t="shared" si="45"/>
        <v>6.5259090909090913</v>
      </c>
      <c r="Y87" s="134"/>
      <c r="Z87" s="135">
        <v>1</v>
      </c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7"/>
      <c r="AL87" s="135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7"/>
      <c r="AX87" s="16"/>
      <c r="AY87" s="138">
        <v>0</v>
      </c>
      <c r="AZ87" s="8">
        <f t="shared" si="38"/>
        <v>0</v>
      </c>
      <c r="BA87" s="139">
        <v>0</v>
      </c>
      <c r="BB87" s="9" t="e">
        <f>IF($A87="S",VTOTAL,IF($A87=0,0,ROUND(SomaAgrup,arredtot)))</f>
        <v>#REF!</v>
      </c>
      <c r="BC87" s="10" t="e">
        <f t="shared" si="39"/>
        <v>#REF!</v>
      </c>
      <c r="BD87" s="11" t="e">
        <f>IF($A87="S",VTOTAL,IF($A87=0,0,ROUND(SomaAgrup,arredtot)))</f>
        <v>#REF!</v>
      </c>
      <c r="BF87" s="701" t="e">
        <f t="shared" si="40"/>
        <v>#REF!</v>
      </c>
      <c r="BG87" s="702"/>
      <c r="BH87" s="12" t="e">
        <f t="shared" si="41"/>
        <v>#REF!</v>
      </c>
      <c r="BI87" s="703" t="e">
        <f t="shared" si="42"/>
        <v>#REF!</v>
      </c>
      <c r="BJ87" s="704"/>
      <c r="BK87" s="705" t="e">
        <f>IF(BR87&gt;0,CHOOSE(MATCH(RegimeExecucao,{"Unitário","Global"},0),IF($A87="S",BR87/BN87,""),(BR87/BN87)*100),"")</f>
        <v>#REF!</v>
      </c>
      <c r="BL87" s="706"/>
      <c r="BM87" s="707"/>
      <c r="BN87" s="708" t="e">
        <f>IF(BR87&gt;0,CHOOSE(MATCH(RegimeExecucao,{"Unitário","Global"},0),IF($A87="S",ROUND(P87,arredunit),""),ROUND(R87,arredtot)),"")</f>
        <v>#REF!</v>
      </c>
      <c r="BO87" s="709"/>
      <c r="BP87" s="709"/>
      <c r="BQ87" s="710"/>
      <c r="BR87" s="708" t="e">
        <f t="shared" si="26"/>
        <v>#REF!</v>
      </c>
      <c r="BS87" s="709"/>
      <c r="BT87" s="709"/>
      <c r="BU87" s="710"/>
      <c r="BV87" s="711"/>
      <c r="BW87" s="711"/>
      <c r="BX87" s="711"/>
      <c r="BY87" s="711"/>
      <c r="BZ87" s="711"/>
      <c r="CA87" s="712"/>
      <c r="CB87" s="16"/>
      <c r="CC87" s="16"/>
    </row>
    <row r="88" spans="1:81">
      <c r="A88" s="59" t="str">
        <f>CHOOSE(1+LOG(1+2*(K88="Meta")+4*(K88="Nível 2")+8*(K88="Nível 3")+16*(K88="Nível 4")+32*(K88="Serviço"),2),0,1,2,3,4,"S")</f>
        <v>S</v>
      </c>
      <c r="B88" s="59">
        <f>IF(OR(A88="S",A88=0),0,IF(ISERROR(I88),H88,SMALL(H88:I88,1)))</f>
        <v>0</v>
      </c>
      <c r="C88" s="59">
        <f ca="1">IF($A88=1,OFFSET(C88,-1,0)+1,OFFSET(C88,-1,0))</f>
        <v>13</v>
      </c>
      <c r="D88" s="59">
        <f ca="1">IF($A88=1,0,IF($A88=2,OFFSET(D88,-1,0)+1,OFFSET(D88,-1,0)))</f>
        <v>0</v>
      </c>
      <c r="E88" s="59">
        <f ca="1">IF(AND($A88&lt;=2,$A88&lt;&gt;0),0,IF($A88=3,OFFSET(E88,-1,0)+1,OFFSET(E88,-1,0)))</f>
        <v>0</v>
      </c>
      <c r="F88" s="59">
        <f ca="1">IF(AND($A88&lt;=3,$A88&lt;&gt;0),0,IF($A88=4,OFFSET(F88,-1,0)+1,OFFSET(F88,-1,0)))</f>
        <v>0</v>
      </c>
      <c r="G88" s="59">
        <f ca="1">IF(AND($A88&lt;=4,$A88&lt;&gt;0),0,IF($A88="S",OFFSET(G88,-1,0)+1,OFFSET(G88,-1,0)))</f>
        <v>3</v>
      </c>
      <c r="H88" s="59">
        <f ca="1">IF(OR($A88="S",$A88=0),0,MATCH(0,OFFSET($B88,1,$A88,ROW($A$89)-ROW($A88)),0))</f>
        <v>0</v>
      </c>
      <c r="I88" s="59">
        <f ca="1">IF(OR($A88="S",$A88=0),0,MATCH(OFFSET($B88,0,$A88)+1,OFFSET($B88,1,$A88,ROW($A$89)-ROW($A88)),0))</f>
        <v>0</v>
      </c>
      <c r="J88" s="59">
        <f>LEN(LEFT($L88,LEN($L88)-1*(RIGHT($L88,1)=".")))-LEN(SUBSTITUTE(LEFT($L88,LEN($L88)-1*(RIGHT($L88,1)=".")),".",""))</f>
        <v>1</v>
      </c>
      <c r="K88" s="127" t="s">
        <v>4</v>
      </c>
      <c r="L88" s="165" t="s">
        <v>185</v>
      </c>
      <c r="M88" s="129" t="s">
        <v>186</v>
      </c>
      <c r="N88" s="130" t="s">
        <v>43</v>
      </c>
      <c r="O88" s="131">
        <v>26</v>
      </c>
      <c r="P88" s="132">
        <v>11.329615384615385</v>
      </c>
      <c r="Q88" s="133">
        <f>IF($A88="S",0,$R88)</f>
        <v>0</v>
      </c>
      <c r="R88" s="1">
        <f t="shared" si="43"/>
        <v>294.57</v>
      </c>
      <c r="S88" s="2">
        <f ca="1">IF(AND($A88="S",COUNTIF($Z$10:$AW$10,mediçao-1)&gt;0),SUM(OFFSET($Z88,0,0,1,MATCH(mediçao-1,$Z$10:$AW$10,0))),IF(AND(RegimeExecucao="Global",$R88&gt;0,COUNTIF($Z$10:$AW$10,mediçao-1)&gt;0),V88/$R88*100,0))</f>
        <v>0</v>
      </c>
      <c r="T88" s="3">
        <f t="shared" si="46"/>
        <v>0</v>
      </c>
      <c r="U88" s="4">
        <f t="shared" ca="1" si="44"/>
        <v>0</v>
      </c>
      <c r="V88" s="5"/>
      <c r="W88" s="6">
        <f t="shared" si="47"/>
        <v>0</v>
      </c>
      <c r="X88" s="7">
        <f t="shared" si="45"/>
        <v>0</v>
      </c>
      <c r="Y88" s="134"/>
      <c r="Z88" s="135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7"/>
      <c r="AL88" s="135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7"/>
      <c r="AX88" s="16"/>
      <c r="AY88" s="138">
        <v>0</v>
      </c>
      <c r="AZ88" s="8">
        <f>BA88-AY88</f>
        <v>0</v>
      </c>
      <c r="BA88" s="139">
        <v>0</v>
      </c>
      <c r="BB88" s="9" t="e">
        <f>IF($A88="S",VTOTAL,IF($A88=0,0,ROUND(SomaAgrup,arredtot)))</f>
        <v>#REF!</v>
      </c>
      <c r="BC88" s="10" t="e">
        <f>BD88-BB88</f>
        <v>#REF!</v>
      </c>
      <c r="BD88" s="11" t="e">
        <f>IF($A88="S",VTOTAL,IF($A88=0,0,ROUND(SomaAgrup,arredtot)))</f>
        <v>#REF!</v>
      </c>
      <c r="BF88" s="701" t="e">
        <f>IF(BK88&gt;0,L88,"")</f>
        <v>#REF!</v>
      </c>
      <c r="BG88" s="702"/>
      <c r="BH88" s="12" t="e">
        <f>IF(BK88&gt;0,M88,"")</f>
        <v>#REF!</v>
      </c>
      <c r="BI88" s="703" t="e">
        <f>IF(BK88&gt;0,N88,"")</f>
        <v>#REF!</v>
      </c>
      <c r="BJ88" s="704"/>
      <c r="BK88" s="705" t="e">
        <f>IF(BR88&gt;0,CHOOSE(MATCH(RegimeExecucao,{"Unitário","Global"},0),IF($A88="S",BR88/BN88,""),(BR88/BN88)*100),"")</f>
        <v>#REF!</v>
      </c>
      <c r="BL88" s="706"/>
      <c r="BM88" s="707"/>
      <c r="BN88" s="708" t="e">
        <f>IF(BR88&gt;0,CHOOSE(MATCH(RegimeExecucao,{"Unitário","Global"},0),IF($A88="S",ROUND(P88,arredunit),""),ROUND(R88,arredtot)),"")</f>
        <v>#REF!</v>
      </c>
      <c r="BO88" s="709"/>
      <c r="BP88" s="709"/>
      <c r="BQ88" s="710"/>
      <c r="BR88" s="708" t="e">
        <f>$X88-$BD88</f>
        <v>#REF!</v>
      </c>
      <c r="BS88" s="709"/>
      <c r="BT88" s="709"/>
      <c r="BU88" s="710"/>
      <c r="BV88" s="711"/>
      <c r="BW88" s="711"/>
      <c r="BX88" s="711"/>
      <c r="BY88" s="711"/>
      <c r="BZ88" s="711"/>
      <c r="CA88" s="712"/>
      <c r="CB88" s="16"/>
      <c r="CC88" s="16"/>
    </row>
    <row r="89" spans="1:81" ht="6" customHeight="1">
      <c r="A89" s="59">
        <v>-1</v>
      </c>
      <c r="B89" s="59">
        <v>0</v>
      </c>
      <c r="C89" s="59">
        <v>0</v>
      </c>
      <c r="D89" s="59">
        <v>0</v>
      </c>
      <c r="E89" s="59">
        <v>0</v>
      </c>
      <c r="F89" s="59">
        <v>0</v>
      </c>
      <c r="G89" s="59">
        <v>0</v>
      </c>
      <c r="H89" s="134"/>
      <c r="I89" s="134"/>
      <c r="J89" s="134"/>
      <c r="K89" s="167"/>
      <c r="L89" s="167"/>
      <c r="M89" s="168"/>
      <c r="N89" s="169"/>
      <c r="O89" s="170"/>
      <c r="P89" s="169"/>
      <c r="Q89" s="169"/>
      <c r="R89" s="171"/>
      <c r="S89" s="169"/>
      <c r="T89" s="172"/>
      <c r="U89" s="173"/>
      <c r="V89" s="172"/>
      <c r="W89" s="169"/>
      <c r="X89" s="174"/>
      <c r="Y89" s="134"/>
      <c r="Z89" s="167"/>
      <c r="AA89" s="168"/>
      <c r="AB89" s="169"/>
      <c r="AC89" s="170"/>
      <c r="AD89" s="169"/>
      <c r="AE89" s="175"/>
      <c r="AF89" s="175"/>
      <c r="AG89" s="176"/>
      <c r="AH89" s="176"/>
      <c r="AI89" s="176"/>
      <c r="AJ89" s="169"/>
      <c r="AK89" s="174"/>
      <c r="AL89" s="167"/>
      <c r="AM89" s="168"/>
      <c r="AN89" s="169"/>
      <c r="AO89" s="170"/>
      <c r="AP89" s="169"/>
      <c r="AQ89" s="175"/>
      <c r="AR89" s="175"/>
      <c r="AS89" s="176"/>
      <c r="AT89" s="176"/>
      <c r="AU89" s="176"/>
      <c r="AV89" s="169"/>
      <c r="AW89" s="174"/>
      <c r="AX89" s="134"/>
      <c r="AY89" s="177"/>
      <c r="AZ89" s="172"/>
      <c r="BA89" s="178"/>
      <c r="BB89" s="172"/>
      <c r="BC89" s="169"/>
      <c r="BD89" s="174"/>
      <c r="BF89" s="696"/>
      <c r="BG89" s="697"/>
      <c r="BH89" s="179"/>
      <c r="BI89" s="697"/>
      <c r="BJ89" s="697"/>
      <c r="BK89" s="697"/>
      <c r="BL89" s="697"/>
      <c r="BM89" s="697"/>
      <c r="BN89" s="697"/>
      <c r="BO89" s="697"/>
      <c r="BP89" s="697"/>
      <c r="BQ89" s="697"/>
      <c r="BR89" s="698"/>
      <c r="BS89" s="697"/>
      <c r="BT89" s="697"/>
      <c r="BU89" s="697"/>
      <c r="BV89" s="699"/>
      <c r="BW89" s="699"/>
      <c r="BX89" s="699"/>
      <c r="BY89" s="699"/>
      <c r="BZ89" s="699"/>
      <c r="CA89" s="700"/>
      <c r="CB89" s="134"/>
      <c r="CC89" s="134"/>
    </row>
    <row r="90" spans="1:81" ht="8.25" customHeight="1"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180"/>
      <c r="U90" s="180"/>
      <c r="V90" s="180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 t="b">
        <v>0</v>
      </c>
    </row>
    <row r="91" spans="1:81" ht="45" customHeight="1">
      <c r="I91" s="46"/>
      <c r="J91" s="46"/>
      <c r="K91" s="46"/>
      <c r="L91" s="180" t="s">
        <v>187</v>
      </c>
      <c r="M91" s="678"/>
      <c r="N91" s="679"/>
      <c r="O91" s="679"/>
      <c r="P91" s="679"/>
      <c r="Q91" s="679"/>
      <c r="R91" s="679"/>
      <c r="S91" s="679"/>
      <c r="T91" s="679"/>
      <c r="U91" s="679"/>
      <c r="V91" s="679"/>
      <c r="W91" s="679"/>
      <c r="X91" s="680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4"/>
      <c r="AZ91" s="46"/>
      <c r="BA91" s="46"/>
      <c r="BB91" s="46"/>
      <c r="BC91" s="46"/>
      <c r="BD91" s="46"/>
      <c r="BF91" s="681"/>
      <c r="BG91" s="682"/>
      <c r="BH91" s="682"/>
      <c r="BI91" s="682"/>
      <c r="BJ91" s="682"/>
      <c r="BK91" s="682"/>
      <c r="BL91" s="682"/>
      <c r="BM91" s="682"/>
      <c r="BN91" s="682"/>
      <c r="BO91" s="682"/>
      <c r="BP91" s="682"/>
      <c r="BQ91" s="682"/>
      <c r="BR91" s="682"/>
      <c r="BS91" s="682"/>
      <c r="BT91" s="682"/>
      <c r="BU91" s="682"/>
      <c r="BV91" s="682"/>
      <c r="BW91" s="682"/>
      <c r="BX91" s="682"/>
      <c r="BY91" s="682"/>
      <c r="BZ91" s="682"/>
      <c r="CA91" s="683"/>
      <c r="CB91" s="46"/>
      <c r="CC91" s="45"/>
    </row>
    <row r="92" spans="1:81" ht="9.75" customHeight="1"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180"/>
      <c r="U92" s="180"/>
      <c r="V92" s="47"/>
      <c r="W92" s="47"/>
      <c r="X92" s="47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5"/>
    </row>
    <row r="93" spans="1:81" ht="15.75" customHeight="1">
      <c r="I93" s="46"/>
      <c r="J93" s="46"/>
      <c r="K93" s="46"/>
      <c r="L93" s="181" t="s">
        <v>188</v>
      </c>
      <c r="M93" s="684" t="str">
        <f>IF(OR(AND($R$3=FALSE,$S$3=FALSE,RegimeExecucao="Global"),AND($O$3=FALSE,$P$3=FALSE,$R$3=FALSE,$S$3=FALSE)),"Não foi considerado arredondamento nos valores da planilha.",CONCATENATE("Foi considerado arredondamento de duas casas decimais para ",IF(AND(RegimeExecucao="Unitário",$O$3=TRUE),"Quantidade; ",""),IF(AND(RegimeExecucao="Unitário",$P$3=TRUE),"Preço unitário; ",""),IF($R$3=TRUE,"Preço total; ",""),,IF($S$3=TRUE,"Medição.","")))</f>
        <v>Foi considerado arredondamento de duas casas decimais para Quantidade; Preço unitário; Preço total; Medição.</v>
      </c>
      <c r="N93" s="685"/>
      <c r="O93" s="685"/>
      <c r="P93" s="685"/>
      <c r="Q93" s="685"/>
      <c r="R93" s="686"/>
      <c r="S93" s="48"/>
      <c r="T93" s="182"/>
      <c r="U93" s="182"/>
      <c r="V93" s="47"/>
      <c r="W93" s="47"/>
      <c r="X93" s="47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5"/>
    </row>
    <row r="94" spans="1:81" ht="20.100000000000001" customHeight="1">
      <c r="I94" s="57"/>
      <c r="J94" s="57"/>
      <c r="K94" s="57"/>
      <c r="L94" s="687" t="s">
        <v>189</v>
      </c>
      <c r="M94" s="687"/>
      <c r="N94" s="687"/>
      <c r="O94" s="687"/>
      <c r="P94" s="687"/>
      <c r="Q94" s="687"/>
      <c r="R94" s="687"/>
      <c r="S94" s="687"/>
      <c r="T94" s="687"/>
      <c r="U94" s="687"/>
      <c r="V94" s="687"/>
      <c r="W94" s="687"/>
      <c r="X94" s="68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49" t="s">
        <v>189</v>
      </c>
    </row>
    <row r="95" spans="1:81" ht="55.5" customHeight="1">
      <c r="I95" s="46"/>
      <c r="J95" s="46"/>
      <c r="K95" s="46"/>
      <c r="L95" s="688" t="s">
        <v>270</v>
      </c>
      <c r="M95" s="689"/>
      <c r="N95" s="50"/>
      <c r="O95" s="183"/>
      <c r="P95" s="183"/>
      <c r="Q95" s="183"/>
      <c r="R95" s="51"/>
      <c r="S95" s="51"/>
      <c r="T95" s="182"/>
      <c r="U95" s="184"/>
      <c r="V95" s="52"/>
      <c r="W95" s="52"/>
      <c r="X95" s="52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184"/>
      <c r="BB95" s="52"/>
      <c r="BC95" s="52"/>
      <c r="BD95" s="52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53" t="s">
        <v>190</v>
      </c>
    </row>
    <row r="96" spans="1:81" ht="12.75" customHeight="1">
      <c r="L96" s="690" t="s">
        <v>191</v>
      </c>
      <c r="M96" s="690"/>
      <c r="N96" s="185"/>
      <c r="P96" s="186" t="s">
        <v>192</v>
      </c>
      <c r="Q96" s="186"/>
      <c r="R96" s="691" t="s">
        <v>245</v>
      </c>
      <c r="S96" s="692"/>
      <c r="T96" s="54"/>
      <c r="V96" s="55" t="s">
        <v>192</v>
      </c>
      <c r="W96" s="693"/>
      <c r="X96" s="693"/>
      <c r="BA96" s="152"/>
      <c r="BB96" s="55" t="s">
        <v>193</v>
      </c>
      <c r="BC96" s="694"/>
      <c r="BD96" s="694"/>
      <c r="BI96" s="695" t="s">
        <v>193</v>
      </c>
      <c r="BJ96" s="695"/>
      <c r="BK96" s="695"/>
      <c r="BL96" s="695"/>
      <c r="BM96" s="695"/>
      <c r="BN96" s="677">
        <f>BC96</f>
        <v>0</v>
      </c>
      <c r="BO96" s="677"/>
      <c r="BP96" s="677"/>
      <c r="BQ96" s="677"/>
      <c r="BR96" s="677"/>
      <c r="BS96" s="677"/>
      <c r="BT96" s="677"/>
      <c r="BU96" s="677"/>
      <c r="BV96" s="677"/>
      <c r="BW96" s="677"/>
    </row>
    <row r="97" spans="16:75">
      <c r="P97" s="186" t="s">
        <v>194</v>
      </c>
      <c r="Q97" s="186"/>
      <c r="R97" s="669" t="s">
        <v>246</v>
      </c>
      <c r="S97" s="670"/>
      <c r="T97" s="54"/>
      <c r="V97" s="56" t="s">
        <v>194</v>
      </c>
      <c r="W97" s="671"/>
      <c r="X97" s="672"/>
      <c r="BA97" s="152"/>
      <c r="BB97" s="56" t="s">
        <v>195</v>
      </c>
      <c r="BC97" s="673"/>
      <c r="BD97" s="674"/>
      <c r="BI97" s="675" t="s">
        <v>195</v>
      </c>
      <c r="BJ97" s="675"/>
      <c r="BK97" s="675"/>
      <c r="BL97" s="675"/>
      <c r="BM97" s="675"/>
      <c r="BN97" s="676">
        <f>BC97</f>
        <v>0</v>
      </c>
      <c r="BO97" s="676"/>
      <c r="BP97" s="676"/>
      <c r="BQ97" s="676"/>
      <c r="BR97" s="676"/>
      <c r="BS97" s="676"/>
      <c r="BT97" s="676"/>
      <c r="BU97" s="676"/>
      <c r="BV97" s="676"/>
      <c r="BW97" s="676"/>
    </row>
    <row r="98" spans="16:75">
      <c r="P98" s="186" t="s">
        <v>196</v>
      </c>
      <c r="Q98" s="186"/>
      <c r="R98" s="669" t="s">
        <v>247</v>
      </c>
      <c r="S98" s="670"/>
      <c r="T98" s="54"/>
      <c r="V98" s="56" t="s">
        <v>196</v>
      </c>
      <c r="W98" s="671"/>
      <c r="X98" s="672"/>
      <c r="BA98" s="152"/>
      <c r="BB98" s="56" t="s">
        <v>194</v>
      </c>
      <c r="BC98" s="673"/>
      <c r="BD98" s="674"/>
      <c r="BI98" s="675" t="s">
        <v>194</v>
      </c>
      <c r="BJ98" s="675"/>
      <c r="BK98" s="675"/>
      <c r="BL98" s="675"/>
      <c r="BM98" s="675"/>
      <c r="BN98" s="676">
        <f>BC98</f>
        <v>0</v>
      </c>
      <c r="BO98" s="676"/>
      <c r="BP98" s="676"/>
      <c r="BQ98" s="676"/>
      <c r="BR98" s="676"/>
      <c r="BS98" s="676"/>
      <c r="BT98" s="676"/>
      <c r="BU98" s="676"/>
      <c r="BV98" s="676"/>
      <c r="BW98" s="676"/>
    </row>
  </sheetData>
  <mergeCells count="524">
    <mergeCell ref="BN1:BQ1"/>
    <mergeCell ref="BR1:BU1"/>
    <mergeCell ref="BV1:CA1"/>
    <mergeCell ref="M5:P5"/>
    <mergeCell ref="X5:X6"/>
    <mergeCell ref="U7:V7"/>
    <mergeCell ref="O8:R8"/>
    <mergeCell ref="AE8:AF8"/>
    <mergeCell ref="AQ8:AR8"/>
    <mergeCell ref="BF1:BG1"/>
    <mergeCell ref="BI1:BJ1"/>
    <mergeCell ref="BK1:BM1"/>
    <mergeCell ref="BN10:BQ10"/>
    <mergeCell ref="BR10:BU10"/>
    <mergeCell ref="BV10:CA10"/>
    <mergeCell ref="BF8:BH8"/>
    <mergeCell ref="L9:M9"/>
    <mergeCell ref="S9:U9"/>
    <mergeCell ref="V9:X9"/>
    <mergeCell ref="AY9:BA9"/>
    <mergeCell ref="BB9:BD9"/>
    <mergeCell ref="BF9:BH9"/>
    <mergeCell ref="L11:N11"/>
    <mergeCell ref="O11:P11"/>
    <mergeCell ref="AC11:AH11"/>
    <mergeCell ref="AO11:AT11"/>
    <mergeCell ref="BF11:BG11"/>
    <mergeCell ref="BI11:BJ11"/>
    <mergeCell ref="BF10:BG10"/>
    <mergeCell ref="BI10:BJ10"/>
    <mergeCell ref="BK10:BM10"/>
    <mergeCell ref="BF13:BG13"/>
    <mergeCell ref="BI13:BJ13"/>
    <mergeCell ref="BK13:BM13"/>
    <mergeCell ref="BN13:BQ13"/>
    <mergeCell ref="BR13:BU13"/>
    <mergeCell ref="BV13:CA13"/>
    <mergeCell ref="BK11:BM11"/>
    <mergeCell ref="BN11:BQ11"/>
    <mergeCell ref="BR11:BU11"/>
    <mergeCell ref="BV11:CA11"/>
    <mergeCell ref="BF12:BG12"/>
    <mergeCell ref="BI12:BJ12"/>
    <mergeCell ref="BK12:BM12"/>
    <mergeCell ref="BN12:BQ12"/>
    <mergeCell ref="BR12:BU12"/>
    <mergeCell ref="BV12:CA12"/>
    <mergeCell ref="BF15:BG15"/>
    <mergeCell ref="BI15:BJ15"/>
    <mergeCell ref="BK15:BM15"/>
    <mergeCell ref="BN15:BQ15"/>
    <mergeCell ref="BR15:BU15"/>
    <mergeCell ref="BV15:CA15"/>
    <mergeCell ref="BF14:BG14"/>
    <mergeCell ref="BI14:BJ14"/>
    <mergeCell ref="BK14:BM14"/>
    <mergeCell ref="BN14:BQ14"/>
    <mergeCell ref="BR14:BU14"/>
    <mergeCell ref="BV14:CA14"/>
    <mergeCell ref="BF17:BG17"/>
    <mergeCell ref="BI17:BJ17"/>
    <mergeCell ref="BK17:BM17"/>
    <mergeCell ref="BN17:BQ17"/>
    <mergeCell ref="BR17:BU17"/>
    <mergeCell ref="BV17:CA17"/>
    <mergeCell ref="BF16:BG16"/>
    <mergeCell ref="BI16:BJ16"/>
    <mergeCell ref="BK16:BM16"/>
    <mergeCell ref="BN16:BQ16"/>
    <mergeCell ref="BR16:BU16"/>
    <mergeCell ref="BV16:CA16"/>
    <mergeCell ref="BF19:BG19"/>
    <mergeCell ref="BI19:BJ19"/>
    <mergeCell ref="BK19:BM19"/>
    <mergeCell ref="BN19:BQ19"/>
    <mergeCell ref="BR19:BU19"/>
    <mergeCell ref="BV19:CA19"/>
    <mergeCell ref="BF18:BG18"/>
    <mergeCell ref="BI18:BJ18"/>
    <mergeCell ref="BK18:BM18"/>
    <mergeCell ref="BN18:BQ18"/>
    <mergeCell ref="BR18:BU18"/>
    <mergeCell ref="BV18:CA18"/>
    <mergeCell ref="BF21:BG21"/>
    <mergeCell ref="BI21:BJ21"/>
    <mergeCell ref="BK21:BM21"/>
    <mergeCell ref="BN21:BQ21"/>
    <mergeCell ref="BR21:BU21"/>
    <mergeCell ref="BV21:CA21"/>
    <mergeCell ref="BF20:BG20"/>
    <mergeCell ref="BI20:BJ20"/>
    <mergeCell ref="BK20:BM20"/>
    <mergeCell ref="BN20:BQ20"/>
    <mergeCell ref="BR20:BU20"/>
    <mergeCell ref="BV20:CA20"/>
    <mergeCell ref="BF23:BG23"/>
    <mergeCell ref="BI23:BJ23"/>
    <mergeCell ref="BK23:BM23"/>
    <mergeCell ref="BN23:BQ23"/>
    <mergeCell ref="BR23:BU23"/>
    <mergeCell ref="BV23:CA23"/>
    <mergeCell ref="BF22:BG22"/>
    <mergeCell ref="BI22:BJ22"/>
    <mergeCell ref="BK22:BM22"/>
    <mergeCell ref="BN22:BQ22"/>
    <mergeCell ref="BR22:BU22"/>
    <mergeCell ref="BV22:CA22"/>
    <mergeCell ref="BF25:BG25"/>
    <mergeCell ref="BI25:BJ25"/>
    <mergeCell ref="BK25:BM25"/>
    <mergeCell ref="BN25:BQ25"/>
    <mergeCell ref="BR25:BU25"/>
    <mergeCell ref="BV25:CA25"/>
    <mergeCell ref="BF24:BG24"/>
    <mergeCell ref="BI24:BJ24"/>
    <mergeCell ref="BK24:BM24"/>
    <mergeCell ref="BN24:BQ24"/>
    <mergeCell ref="BR24:BU24"/>
    <mergeCell ref="BV24:CA24"/>
    <mergeCell ref="BF27:BG27"/>
    <mergeCell ref="BI27:BJ27"/>
    <mergeCell ref="BK27:BM27"/>
    <mergeCell ref="BN27:BQ27"/>
    <mergeCell ref="BR27:BU27"/>
    <mergeCell ref="BV27:CA27"/>
    <mergeCell ref="BF26:BG26"/>
    <mergeCell ref="BI26:BJ26"/>
    <mergeCell ref="BK26:BM26"/>
    <mergeCell ref="BN26:BQ26"/>
    <mergeCell ref="BR26:BU26"/>
    <mergeCell ref="BV26:CA26"/>
    <mergeCell ref="BF29:BG29"/>
    <mergeCell ref="BI29:BJ29"/>
    <mergeCell ref="BK29:BM29"/>
    <mergeCell ref="BN29:BQ29"/>
    <mergeCell ref="BR29:BU29"/>
    <mergeCell ref="BV29:CA29"/>
    <mergeCell ref="BF28:BG28"/>
    <mergeCell ref="BI28:BJ28"/>
    <mergeCell ref="BK28:BM28"/>
    <mergeCell ref="BN28:BQ28"/>
    <mergeCell ref="BR28:BU28"/>
    <mergeCell ref="BV28:CA28"/>
    <mergeCell ref="BF31:BG31"/>
    <mergeCell ref="BI31:BJ31"/>
    <mergeCell ref="BK31:BM31"/>
    <mergeCell ref="BN31:BQ31"/>
    <mergeCell ref="BR31:BU31"/>
    <mergeCell ref="BV31:CA31"/>
    <mergeCell ref="BF30:BG30"/>
    <mergeCell ref="BI30:BJ30"/>
    <mergeCell ref="BK30:BM30"/>
    <mergeCell ref="BN30:BQ30"/>
    <mergeCell ref="BR30:BU30"/>
    <mergeCell ref="BV30:CA30"/>
    <mergeCell ref="BF33:BG33"/>
    <mergeCell ref="BI33:BJ33"/>
    <mergeCell ref="BK33:BM33"/>
    <mergeCell ref="BN33:BQ33"/>
    <mergeCell ref="BR33:BU33"/>
    <mergeCell ref="BV33:CA33"/>
    <mergeCell ref="BF32:BG32"/>
    <mergeCell ref="BI32:BJ32"/>
    <mergeCell ref="BK32:BM32"/>
    <mergeCell ref="BN32:BQ32"/>
    <mergeCell ref="BR32:BU32"/>
    <mergeCell ref="BV32:CA32"/>
    <mergeCell ref="BF35:BG35"/>
    <mergeCell ref="BI35:BJ35"/>
    <mergeCell ref="BK35:BM35"/>
    <mergeCell ref="BN35:BQ35"/>
    <mergeCell ref="BR35:BU35"/>
    <mergeCell ref="BV35:CA35"/>
    <mergeCell ref="BF34:BG34"/>
    <mergeCell ref="BI34:BJ34"/>
    <mergeCell ref="BK34:BM34"/>
    <mergeCell ref="BN34:BQ34"/>
    <mergeCell ref="BR34:BU34"/>
    <mergeCell ref="BV34:CA34"/>
    <mergeCell ref="BF37:BG37"/>
    <mergeCell ref="BI37:BJ37"/>
    <mergeCell ref="BK37:BM37"/>
    <mergeCell ref="BN37:BQ37"/>
    <mergeCell ref="BR37:BU37"/>
    <mergeCell ref="BV37:CA37"/>
    <mergeCell ref="BF36:BG36"/>
    <mergeCell ref="BI36:BJ36"/>
    <mergeCell ref="BK36:BM36"/>
    <mergeCell ref="BN36:BQ36"/>
    <mergeCell ref="BR36:BU36"/>
    <mergeCell ref="BV36:CA36"/>
    <mergeCell ref="BF39:BG39"/>
    <mergeCell ref="BI39:BJ39"/>
    <mergeCell ref="BK39:BM39"/>
    <mergeCell ref="BN39:BQ39"/>
    <mergeCell ref="BR39:BU39"/>
    <mergeCell ref="BV39:CA39"/>
    <mergeCell ref="BF38:BG38"/>
    <mergeCell ref="BI38:BJ38"/>
    <mergeCell ref="BK38:BM38"/>
    <mergeCell ref="BN38:BQ38"/>
    <mergeCell ref="BR38:BU38"/>
    <mergeCell ref="BV38:CA38"/>
    <mergeCell ref="BF41:BG41"/>
    <mergeCell ref="BI41:BJ41"/>
    <mergeCell ref="BK41:BM41"/>
    <mergeCell ref="BN41:BQ41"/>
    <mergeCell ref="BR41:BU41"/>
    <mergeCell ref="BV41:CA41"/>
    <mergeCell ref="BF40:BG40"/>
    <mergeCell ref="BI40:BJ40"/>
    <mergeCell ref="BK40:BM40"/>
    <mergeCell ref="BN40:BQ40"/>
    <mergeCell ref="BR40:BU40"/>
    <mergeCell ref="BV40:CA40"/>
    <mergeCell ref="BF43:BG43"/>
    <mergeCell ref="BI43:BJ43"/>
    <mergeCell ref="BK43:BM43"/>
    <mergeCell ref="BN43:BQ43"/>
    <mergeCell ref="BR43:BU43"/>
    <mergeCell ref="BV43:CA43"/>
    <mergeCell ref="BF42:BG42"/>
    <mergeCell ref="BI42:BJ42"/>
    <mergeCell ref="BK42:BM42"/>
    <mergeCell ref="BN42:BQ42"/>
    <mergeCell ref="BR42:BU42"/>
    <mergeCell ref="BV42:CA42"/>
    <mergeCell ref="BF45:BG45"/>
    <mergeCell ref="BI45:BJ45"/>
    <mergeCell ref="BK45:BM45"/>
    <mergeCell ref="BN45:BQ45"/>
    <mergeCell ref="BR45:BU45"/>
    <mergeCell ref="BV45:CA45"/>
    <mergeCell ref="BF44:BG44"/>
    <mergeCell ref="BI44:BJ44"/>
    <mergeCell ref="BK44:BM44"/>
    <mergeCell ref="BN44:BQ44"/>
    <mergeCell ref="BR44:BU44"/>
    <mergeCell ref="BV44:CA44"/>
    <mergeCell ref="BF47:BG47"/>
    <mergeCell ref="BI47:BJ47"/>
    <mergeCell ref="BK47:BM47"/>
    <mergeCell ref="BN47:BQ47"/>
    <mergeCell ref="BR47:BU47"/>
    <mergeCell ref="BV47:CA47"/>
    <mergeCell ref="BF46:BG46"/>
    <mergeCell ref="BI46:BJ46"/>
    <mergeCell ref="BK46:BM46"/>
    <mergeCell ref="BN46:BQ46"/>
    <mergeCell ref="BR46:BU46"/>
    <mergeCell ref="BV46:CA46"/>
    <mergeCell ref="BF49:BG49"/>
    <mergeCell ref="BI49:BJ49"/>
    <mergeCell ref="BK49:BM49"/>
    <mergeCell ref="BN49:BQ49"/>
    <mergeCell ref="BR49:BU49"/>
    <mergeCell ref="BV49:CA49"/>
    <mergeCell ref="BF48:BG48"/>
    <mergeCell ref="BI48:BJ48"/>
    <mergeCell ref="BK48:BM48"/>
    <mergeCell ref="BN48:BQ48"/>
    <mergeCell ref="BR48:BU48"/>
    <mergeCell ref="BV48:CA48"/>
    <mergeCell ref="BF51:BG51"/>
    <mergeCell ref="BI51:BJ51"/>
    <mergeCell ref="BK51:BM51"/>
    <mergeCell ref="BN51:BQ51"/>
    <mergeCell ref="BR51:BU51"/>
    <mergeCell ref="BV51:CA51"/>
    <mergeCell ref="BF50:BG50"/>
    <mergeCell ref="BI50:BJ50"/>
    <mergeCell ref="BK50:BM50"/>
    <mergeCell ref="BN50:BQ50"/>
    <mergeCell ref="BR50:BU50"/>
    <mergeCell ref="BV50:CA50"/>
    <mergeCell ref="BF53:BG53"/>
    <mergeCell ref="BI53:BJ53"/>
    <mergeCell ref="BK53:BM53"/>
    <mergeCell ref="BN53:BQ53"/>
    <mergeCell ref="BR53:BU53"/>
    <mergeCell ref="BV53:CA53"/>
    <mergeCell ref="BF52:BG52"/>
    <mergeCell ref="BI52:BJ52"/>
    <mergeCell ref="BK52:BM52"/>
    <mergeCell ref="BN52:BQ52"/>
    <mergeCell ref="BR52:BU52"/>
    <mergeCell ref="BV52:CA52"/>
    <mergeCell ref="BF55:BG55"/>
    <mergeCell ref="BI55:BJ55"/>
    <mergeCell ref="BK55:BM55"/>
    <mergeCell ref="BN55:BQ55"/>
    <mergeCell ref="BR55:BU55"/>
    <mergeCell ref="BV55:CA55"/>
    <mergeCell ref="BF54:BG54"/>
    <mergeCell ref="BI54:BJ54"/>
    <mergeCell ref="BK54:BM54"/>
    <mergeCell ref="BN54:BQ54"/>
    <mergeCell ref="BR54:BU54"/>
    <mergeCell ref="BV54:CA54"/>
    <mergeCell ref="BF57:BG57"/>
    <mergeCell ref="BI57:BJ57"/>
    <mergeCell ref="BK57:BM57"/>
    <mergeCell ref="BN57:BQ57"/>
    <mergeCell ref="BR57:BU57"/>
    <mergeCell ref="BV57:CA57"/>
    <mergeCell ref="BF56:BG56"/>
    <mergeCell ref="BI56:BJ56"/>
    <mergeCell ref="BK56:BM56"/>
    <mergeCell ref="BN56:BQ56"/>
    <mergeCell ref="BR56:BU56"/>
    <mergeCell ref="BV56:CA56"/>
    <mergeCell ref="BF59:BG59"/>
    <mergeCell ref="BI59:BJ59"/>
    <mergeCell ref="BK59:BM59"/>
    <mergeCell ref="BN59:BQ59"/>
    <mergeCell ref="BR59:BU59"/>
    <mergeCell ref="BV59:CA59"/>
    <mergeCell ref="BF58:BG58"/>
    <mergeCell ref="BI58:BJ58"/>
    <mergeCell ref="BK58:BM58"/>
    <mergeCell ref="BN58:BQ58"/>
    <mergeCell ref="BR58:BU58"/>
    <mergeCell ref="BV58:CA58"/>
    <mergeCell ref="BF61:BG61"/>
    <mergeCell ref="BI61:BJ61"/>
    <mergeCell ref="BK61:BM61"/>
    <mergeCell ref="BN61:BQ61"/>
    <mergeCell ref="BR61:BU61"/>
    <mergeCell ref="BV61:CA61"/>
    <mergeCell ref="BF60:BG60"/>
    <mergeCell ref="BI60:BJ60"/>
    <mergeCell ref="BK60:BM60"/>
    <mergeCell ref="BN60:BQ60"/>
    <mergeCell ref="BR60:BU60"/>
    <mergeCell ref="BV60:CA60"/>
    <mergeCell ref="BF63:BG63"/>
    <mergeCell ref="BI63:BJ63"/>
    <mergeCell ref="BK63:BM63"/>
    <mergeCell ref="BN63:BQ63"/>
    <mergeCell ref="BR63:BU63"/>
    <mergeCell ref="BV63:CA63"/>
    <mergeCell ref="BF62:BG62"/>
    <mergeCell ref="BI62:BJ62"/>
    <mergeCell ref="BK62:BM62"/>
    <mergeCell ref="BN62:BQ62"/>
    <mergeCell ref="BR62:BU62"/>
    <mergeCell ref="BV62:CA62"/>
    <mergeCell ref="BF65:BG65"/>
    <mergeCell ref="BI65:BJ65"/>
    <mergeCell ref="BK65:BM65"/>
    <mergeCell ref="BN65:BQ65"/>
    <mergeCell ref="BR65:BU65"/>
    <mergeCell ref="BV65:CA65"/>
    <mergeCell ref="BF64:BG64"/>
    <mergeCell ref="BI64:BJ64"/>
    <mergeCell ref="BK64:BM64"/>
    <mergeCell ref="BN64:BQ64"/>
    <mergeCell ref="BR64:BU64"/>
    <mergeCell ref="BV64:CA64"/>
    <mergeCell ref="BF67:BG67"/>
    <mergeCell ref="BI67:BJ67"/>
    <mergeCell ref="BK67:BM67"/>
    <mergeCell ref="BN67:BQ67"/>
    <mergeCell ref="BR67:BU67"/>
    <mergeCell ref="BV67:CA67"/>
    <mergeCell ref="BF66:BG66"/>
    <mergeCell ref="BI66:BJ66"/>
    <mergeCell ref="BK66:BM66"/>
    <mergeCell ref="BN66:BQ66"/>
    <mergeCell ref="BR66:BU66"/>
    <mergeCell ref="BV66:CA66"/>
    <mergeCell ref="BF69:BG69"/>
    <mergeCell ref="BI69:BJ69"/>
    <mergeCell ref="BK69:BM69"/>
    <mergeCell ref="BN69:BQ69"/>
    <mergeCell ref="BR69:BU69"/>
    <mergeCell ref="BV69:CA69"/>
    <mergeCell ref="BF68:BG68"/>
    <mergeCell ref="BI68:BJ68"/>
    <mergeCell ref="BK68:BM68"/>
    <mergeCell ref="BN68:BQ68"/>
    <mergeCell ref="BR68:BU68"/>
    <mergeCell ref="BV68:CA68"/>
    <mergeCell ref="BF71:BG71"/>
    <mergeCell ref="BI71:BJ71"/>
    <mergeCell ref="BK71:BM71"/>
    <mergeCell ref="BN71:BQ71"/>
    <mergeCell ref="BR71:BU71"/>
    <mergeCell ref="BV71:CA71"/>
    <mergeCell ref="BF70:BG70"/>
    <mergeCell ref="BI70:BJ70"/>
    <mergeCell ref="BK70:BM70"/>
    <mergeCell ref="BN70:BQ70"/>
    <mergeCell ref="BR70:BU70"/>
    <mergeCell ref="BV70:CA70"/>
    <mergeCell ref="BF73:BG73"/>
    <mergeCell ref="BI73:BJ73"/>
    <mergeCell ref="BK73:BM73"/>
    <mergeCell ref="BN73:BQ73"/>
    <mergeCell ref="BR73:BU73"/>
    <mergeCell ref="BV73:CA73"/>
    <mergeCell ref="BF72:BG72"/>
    <mergeCell ref="BI72:BJ72"/>
    <mergeCell ref="BK72:BM72"/>
    <mergeCell ref="BN72:BQ72"/>
    <mergeCell ref="BR72:BU72"/>
    <mergeCell ref="BV72:CA72"/>
    <mergeCell ref="BF75:BG75"/>
    <mergeCell ref="BI75:BJ75"/>
    <mergeCell ref="BK75:BM75"/>
    <mergeCell ref="BN75:BQ75"/>
    <mergeCell ref="BR75:BU75"/>
    <mergeCell ref="BV75:CA75"/>
    <mergeCell ref="BF74:BG74"/>
    <mergeCell ref="BI74:BJ74"/>
    <mergeCell ref="BK74:BM74"/>
    <mergeCell ref="BN74:BQ74"/>
    <mergeCell ref="BR74:BU74"/>
    <mergeCell ref="BV74:CA74"/>
    <mergeCell ref="BF77:BG77"/>
    <mergeCell ref="BI77:BJ77"/>
    <mergeCell ref="BK77:BM77"/>
    <mergeCell ref="BN77:BQ77"/>
    <mergeCell ref="BR77:BU77"/>
    <mergeCell ref="BV77:CA77"/>
    <mergeCell ref="BF76:BG76"/>
    <mergeCell ref="BI76:BJ76"/>
    <mergeCell ref="BK76:BM76"/>
    <mergeCell ref="BN76:BQ76"/>
    <mergeCell ref="BR76:BU76"/>
    <mergeCell ref="BV76:CA76"/>
    <mergeCell ref="BF79:BG79"/>
    <mergeCell ref="BI79:BJ79"/>
    <mergeCell ref="BK79:BM79"/>
    <mergeCell ref="BN79:BQ79"/>
    <mergeCell ref="BR79:BU79"/>
    <mergeCell ref="BV79:CA79"/>
    <mergeCell ref="BF78:BG78"/>
    <mergeCell ref="BI78:BJ78"/>
    <mergeCell ref="BK78:BM78"/>
    <mergeCell ref="BN78:BQ78"/>
    <mergeCell ref="BR78:BU78"/>
    <mergeCell ref="BV78:CA78"/>
    <mergeCell ref="BF81:BG81"/>
    <mergeCell ref="BI81:BJ81"/>
    <mergeCell ref="BK81:BM81"/>
    <mergeCell ref="BN81:BQ81"/>
    <mergeCell ref="BR81:BU81"/>
    <mergeCell ref="BV81:CA81"/>
    <mergeCell ref="BF80:BG80"/>
    <mergeCell ref="BI80:BJ80"/>
    <mergeCell ref="BK80:BM80"/>
    <mergeCell ref="BN80:BQ80"/>
    <mergeCell ref="BR80:BU80"/>
    <mergeCell ref="BV80:CA80"/>
    <mergeCell ref="BF83:BG83"/>
    <mergeCell ref="BI83:BJ83"/>
    <mergeCell ref="BK83:BM83"/>
    <mergeCell ref="BN83:BQ83"/>
    <mergeCell ref="BR83:BU83"/>
    <mergeCell ref="BV83:CA83"/>
    <mergeCell ref="BF82:BG82"/>
    <mergeCell ref="BI82:BJ82"/>
    <mergeCell ref="BK82:BM82"/>
    <mergeCell ref="BN82:BQ82"/>
    <mergeCell ref="BR82:BU82"/>
    <mergeCell ref="BV82:CA82"/>
    <mergeCell ref="BF85:BG85"/>
    <mergeCell ref="BI85:BJ85"/>
    <mergeCell ref="BK85:BM85"/>
    <mergeCell ref="BN85:BQ85"/>
    <mergeCell ref="BR85:BU85"/>
    <mergeCell ref="BV85:CA85"/>
    <mergeCell ref="BF84:BG84"/>
    <mergeCell ref="BI84:BJ84"/>
    <mergeCell ref="BK84:BM84"/>
    <mergeCell ref="BN84:BQ84"/>
    <mergeCell ref="BR84:BU84"/>
    <mergeCell ref="BV84:CA84"/>
    <mergeCell ref="BF87:BG87"/>
    <mergeCell ref="BI87:BJ87"/>
    <mergeCell ref="BK87:BM87"/>
    <mergeCell ref="BN87:BQ87"/>
    <mergeCell ref="BR87:BU87"/>
    <mergeCell ref="BV87:CA87"/>
    <mergeCell ref="BF86:BG86"/>
    <mergeCell ref="BI86:BJ86"/>
    <mergeCell ref="BK86:BM86"/>
    <mergeCell ref="BN86:BQ86"/>
    <mergeCell ref="BR86:BU86"/>
    <mergeCell ref="BV86:CA86"/>
    <mergeCell ref="BF89:BG89"/>
    <mergeCell ref="BI89:BJ89"/>
    <mergeCell ref="BK89:BM89"/>
    <mergeCell ref="BN89:BQ89"/>
    <mergeCell ref="BR89:BU89"/>
    <mergeCell ref="BV89:CA89"/>
    <mergeCell ref="BF88:BG88"/>
    <mergeCell ref="BI88:BJ88"/>
    <mergeCell ref="BK88:BM88"/>
    <mergeCell ref="BN88:BQ88"/>
    <mergeCell ref="BR88:BU88"/>
    <mergeCell ref="BV88:CA88"/>
    <mergeCell ref="M91:X91"/>
    <mergeCell ref="BF91:CA91"/>
    <mergeCell ref="M93:R93"/>
    <mergeCell ref="L94:X94"/>
    <mergeCell ref="L95:M95"/>
    <mergeCell ref="L96:M96"/>
    <mergeCell ref="R96:S96"/>
    <mergeCell ref="W96:X96"/>
    <mergeCell ref="BC96:BD96"/>
    <mergeCell ref="BI96:BM96"/>
    <mergeCell ref="R98:S98"/>
    <mergeCell ref="W98:X98"/>
    <mergeCell ref="BC98:BD98"/>
    <mergeCell ref="BI98:BM98"/>
    <mergeCell ref="BN98:BW98"/>
    <mergeCell ref="BN96:BW96"/>
    <mergeCell ref="R97:S97"/>
    <mergeCell ref="W97:X97"/>
    <mergeCell ref="BC97:BD97"/>
    <mergeCell ref="BI97:BM97"/>
    <mergeCell ref="BN97:BW97"/>
  </mergeCells>
  <conditionalFormatting sqref="O95:S98">
    <cfRule type="expression" dxfId="115" priority="28" stopIfTrue="1">
      <formula>OR($R$96="",CAIXA.modo=TRUE())</formula>
    </cfRule>
  </conditionalFormatting>
  <conditionalFormatting sqref="K1 K12:K88">
    <cfRule type="expression" dxfId="114" priority="26" stopIfTrue="1">
      <formula>$K1="Meta"</formula>
    </cfRule>
    <cfRule type="expression" dxfId="113" priority="27" stopIfTrue="1">
      <formula>$A1&lt;&gt;"S"</formula>
    </cfRule>
  </conditionalFormatting>
  <conditionalFormatting sqref="Z1:AW1 Z12:AW88">
    <cfRule type="expression" dxfId="112" priority="24" stopIfTrue="1">
      <formula>$K1=$C$3</formula>
    </cfRule>
    <cfRule type="expression" dxfId="111" priority="25" stopIfTrue="1">
      <formula>$A1&lt;&gt;"S"</formula>
    </cfRule>
  </conditionalFormatting>
  <conditionalFormatting sqref="BF1:CA1 BF12:CA88">
    <cfRule type="expression" dxfId="110" priority="22" stopIfTrue="1">
      <formula>$K1=$C$3</formula>
    </cfRule>
    <cfRule type="expression" dxfId="109" priority="23" stopIfTrue="1">
      <formula>$A1&lt;&gt;"S"</formula>
    </cfRule>
  </conditionalFormatting>
  <conditionalFormatting sqref="AY1:BD1 L1:P1 R1:X1 AY12:BD88 L12:P88 R12:W88 X13:X88">
    <cfRule type="expression" dxfId="108" priority="19" stopIfTrue="1">
      <formula>OR($U1&lt;0,AND($U1&gt;100,RegimeExecucao="Global"),AND($U1&gt;ROUND($O1,2),RegimeExecucao="Unitário"))</formula>
    </cfRule>
    <cfRule type="expression" dxfId="107" priority="20" stopIfTrue="1">
      <formula>$K1=$C$3</formula>
    </cfRule>
    <cfRule type="expression" dxfId="106" priority="21" stopIfTrue="1">
      <formula>$A1&lt;&gt;"S"</formula>
    </cfRule>
  </conditionalFormatting>
  <conditionalFormatting sqref="Q1 Q12:Q88">
    <cfRule type="expression" dxfId="105" priority="16" stopIfTrue="1">
      <formula>AND($A1&lt;&gt;"S",RegimeExecucao="Global",$Q1&lt;&gt;$R1,$Q1&lt;&gt;0)</formula>
    </cfRule>
    <cfRule type="expression" dxfId="104" priority="17" stopIfTrue="1">
      <formula>$K1=$C$3</formula>
    </cfRule>
    <cfRule type="expression" dxfId="103" priority="18" stopIfTrue="1">
      <formula>$A1&lt;&gt;"S"</formula>
    </cfRule>
  </conditionalFormatting>
  <conditionalFormatting sqref="M6">
    <cfRule type="expression" dxfId="102" priority="15" stopIfTrue="1">
      <formula>Import.RegimeExecução=""</formula>
    </cfRule>
  </conditionalFormatting>
  <conditionalFormatting sqref="O95:S98">
    <cfRule type="expression" dxfId="101" priority="14" stopIfTrue="1">
      <formula>OR($R$96="",CAIXA.modo=TRUE())</formula>
    </cfRule>
  </conditionalFormatting>
  <conditionalFormatting sqref="K1 K12:K88">
    <cfRule type="expression" dxfId="100" priority="12" stopIfTrue="1">
      <formula>$K1="Meta"</formula>
    </cfRule>
    <cfRule type="expression" dxfId="99" priority="13" stopIfTrue="1">
      <formula>$A1&lt;&gt;"S"</formula>
    </cfRule>
  </conditionalFormatting>
  <conditionalFormatting sqref="Z1:AW1 Z12:AW88">
    <cfRule type="expression" dxfId="98" priority="10" stopIfTrue="1">
      <formula>$K1=$C$3</formula>
    </cfRule>
    <cfRule type="expression" dxfId="97" priority="11" stopIfTrue="1">
      <formula>$A1&lt;&gt;"S"</formula>
    </cfRule>
  </conditionalFormatting>
  <conditionalFormatting sqref="BF1:CA1 BF12:CA88">
    <cfRule type="expression" dxfId="96" priority="8" stopIfTrue="1">
      <formula>$K1=$C$3</formula>
    </cfRule>
    <cfRule type="expression" dxfId="95" priority="9" stopIfTrue="1">
      <formula>$A1&lt;&gt;"S"</formula>
    </cfRule>
  </conditionalFormatting>
  <conditionalFormatting sqref="AY1:BD1 L1:P1 R1:X1 AY12:BD88 L12:P88 R12:W88 X13:X88">
    <cfRule type="expression" dxfId="94" priority="5" stopIfTrue="1">
      <formula>OR($U1&lt;0,AND($U1&gt;100,RegimeExecucao="Global"),AND($U1&gt;ROUND($O1,2),RegimeExecucao="Unitário"))</formula>
    </cfRule>
    <cfRule type="expression" dxfId="93" priority="6" stopIfTrue="1">
      <formula>$K1=$C$3</formula>
    </cfRule>
    <cfRule type="expression" dxfId="92" priority="7" stopIfTrue="1">
      <formula>$A1&lt;&gt;"S"</formula>
    </cfRule>
  </conditionalFormatting>
  <conditionalFormatting sqref="Q1 Q12:Q88">
    <cfRule type="expression" dxfId="91" priority="2" stopIfTrue="1">
      <formula>AND($A1&lt;&gt;"S",RegimeExecucao="Global",$Q1&lt;&gt;$R1,$Q1&lt;&gt;0)</formula>
    </cfRule>
    <cfRule type="expression" dxfId="90" priority="3" stopIfTrue="1">
      <formula>$K1=$C$3</formula>
    </cfRule>
    <cfRule type="expression" dxfId="89" priority="4" stopIfTrue="1">
      <formula>$A1&lt;&gt;"S"</formula>
    </cfRule>
  </conditionalFormatting>
  <dataValidations count="7">
    <dataValidation type="decimal" allowBlank="1" showInputMessage="1" showErrorMessage="1" error="Valor Superior à da medição." sqref="BA1 BA12:BA88">
      <formula1>0</formula1>
      <formula2>U1</formula2>
    </dataValidation>
    <dataValidation type="list" allowBlank="1" showInputMessage="1" sqref="BV11:CA88 BV1:CA1">
      <formula1>glosas</formula1>
    </dataValidation>
    <dataValidation type="whole" operator="greaterThan" allowBlank="1" showInputMessage="1" showErrorMessage="1" errorTitle="Atenção" error="Deve ser digitado apenas o NÚMERO da primeira medição" sqref="Z10">
      <formula1>0</formula1>
    </dataValidation>
    <dataValidation type="list" showInputMessage="1" showErrorMessage="1" errorTitle="Erro de Entrada" error="Selecione somente os itens da lista." promptTitle="Nível:" prompt="Selecione na lista o nível de itemização da Planilha." sqref="K12:K88 K1">
      <formula1>$C$3:$G$3</formula1>
    </dataValidation>
    <dataValidation type="decimal" errorStyle="warning" allowBlank="1" showInputMessage="1" showErrorMessage="1" errorTitle="Atenção! " error="% medido é superior a 100% (Global)&#10;ou&#10;Quantidade é superior à contratada (P. Unit)&#10;ou&#10;Evolução acumulada negativa" sqref="Z12:AW88 Z1:AW1">
      <formula1>(SUM($Y1:Z1))*-1</formula1>
      <formula2>IF($I$8="Global",100-SUM($Z1:$AW1)+Z1,ROUND($O1,2)-SUM($Z1:$AW1)+Z1)</formula2>
    </dataValidation>
    <dataValidation allowBlank="1" showInputMessage="1" showErrorMessage="1" prompt="Digite a data das medições nas colunas amarelas à direita &gt;&gt;&gt;&gt;" sqref="U7:V7"/>
    <dataValidation type="decimal" errorStyle="warning" operator="greaterThanOrEqual" allowBlank="1" showInputMessage="1" showErrorMessage="1" errorTitle="Erro" error="Os valores devem ser maiores que 0." sqref="O12:Q88 O1:Q1">
      <formula1>0</formula1>
    </dataValidation>
  </dataValidations>
  <printOptions horizontalCentered="1"/>
  <pageMargins left="0" right="0" top="0" bottom="0" header="0" footer="0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C98"/>
  <sheetViews>
    <sheetView topLeftCell="N5" workbookViewId="0">
      <selection activeCell="K7" sqref="K7:X89"/>
    </sheetView>
  </sheetViews>
  <sheetFormatPr defaultColWidth="11.6640625" defaultRowHeight="13.2"/>
  <cols>
    <col min="1" max="8" width="6.6640625" style="59" hidden="1" customWidth="1"/>
    <col min="9" max="10" width="6.6640625" style="60" hidden="1" customWidth="1"/>
    <col min="11" max="11" width="7.6640625" style="60" customWidth="1"/>
    <col min="12" max="12" width="10.6640625" style="60" customWidth="1"/>
    <col min="13" max="13" width="60.21875" style="60" customWidth="1"/>
    <col min="14" max="14" width="7.6640625" style="60" customWidth="1"/>
    <col min="15" max="15" width="11.6640625" style="60" customWidth="1"/>
    <col min="16" max="16" width="13.6640625" style="60" customWidth="1"/>
    <col min="17" max="18" width="18.6640625" style="60" customWidth="1"/>
    <col min="19" max="19" width="11.44140625" style="60" customWidth="1"/>
    <col min="20" max="21" width="11.44140625" style="152" customWidth="1"/>
    <col min="22" max="22" width="18.44140625" style="152" customWidth="1"/>
    <col min="23" max="24" width="18.44140625" style="60" customWidth="1"/>
    <col min="25" max="25" width="3.88671875" style="60" customWidth="1"/>
    <col min="26" max="50" width="11.6640625" style="60" customWidth="1"/>
    <col min="51" max="53" width="11.44140625" style="60" hidden="1" customWidth="1"/>
    <col min="54" max="56" width="18.44140625" style="60" hidden="1" customWidth="1"/>
    <col min="57" max="57" width="2.88671875" style="59" hidden="1" customWidth="1"/>
    <col min="58" max="59" width="5.6640625" style="60" hidden="1" customWidth="1"/>
    <col min="60" max="60" width="90.88671875" style="60" hidden="1" customWidth="1"/>
    <col min="61" max="79" width="3.88671875" style="60" hidden="1" customWidth="1"/>
    <col min="80" max="80" width="11.6640625" style="60"/>
    <col min="81" max="81" width="11.6640625" style="60" hidden="1" customWidth="1"/>
    <col min="82" max="82" width="22" style="59" customWidth="1"/>
    <col min="83" max="16384" width="11.6640625" style="59"/>
  </cols>
  <sheetData>
    <row r="1" spans="1:81" hidden="1">
      <c r="A1" s="59" t="str">
        <f>CHOOSE(1+LOG(1+2*(K1="Meta")+4*(K1="Nível 2")+8*(K1="Nível 3")+16*(K1="Nível 4")+32*(K1="Serviço"),2),0,1,2,3,4,"S")</f>
        <v>S</v>
      </c>
      <c r="B1" s="59">
        <f>IF(OR(A1="S",A1=0),0,IF(ISERROR(I1),H1,SMALL(H1:I1,1)))</f>
        <v>0</v>
      </c>
      <c r="C1" s="59" t="e">
        <f ca="1">IF($A1=1,OFFSET(C1,-1,0)+1,OFFSET(C1,-1,0))</f>
        <v>#REF!</v>
      </c>
      <c r="D1" s="59" t="e">
        <f ca="1">IF($A1=1,0,IF($A1=2,OFFSET(D1,-1,0)+1,OFFSET(D1,-1,0)))</f>
        <v>#REF!</v>
      </c>
      <c r="E1" s="59" t="e">
        <f ca="1">IF(AND($A1&lt;=2,$A1&lt;&gt;0),0,IF($A1=3,OFFSET(E1,-1,0)+1,OFFSET(E1,-1,0)))</f>
        <v>#REF!</v>
      </c>
      <c r="F1" s="59" t="e">
        <f ca="1">IF(AND($A1&lt;=3,$A1&lt;&gt;0),0,IF($A1=4,OFFSET(F1,-1,0)+1,OFFSET(F1,-1,0)))</f>
        <v>#REF!</v>
      </c>
      <c r="G1" s="59" t="e">
        <f ca="1">IF(AND($A1&lt;=4,$A1&lt;&gt;0),0,IF($A1="S",OFFSET(G1,-1,0)+1,OFFSET(G1,-1,0)))</f>
        <v>#REF!</v>
      </c>
      <c r="H1" s="59">
        <f ca="1">IF(OR($A1="S",$A1=0),0,MATCH(0,OFFSET($B1,1,$A1,ROW($A$89)-ROW($A1)),0))</f>
        <v>0</v>
      </c>
      <c r="I1" s="59">
        <f ca="1">IF(OR($A1="S",$A1=0),0,MATCH(OFFSET($B1,0,$A1)+1,OFFSET($B1,1,$A1,ROW($A$89)-ROW($A1)),0))</f>
        <v>0</v>
      </c>
      <c r="J1" s="59">
        <f>LEN(LEFT($L1,LEN($L1)-1*(RIGHT($L1,1)=".")))-LEN(SUBSTITUTE(LEFT($L1,LEN($L1)-1*(RIGHT($L1,1)=".")),".",""))</f>
        <v>0</v>
      </c>
      <c r="K1" s="127" t="str">
        <f>CHOOSE(1+LOG(1+2*($J1=3)+4*($J1=2)+8*($J1=1)+16*(AND($L1&lt;&gt;"",$L1&lt;&gt;0,$J1=0))+32*OR($N1&lt;&gt;"",RegimeExecucao="Global",AND($L1="",$M1="",$N1="")),2),"","Nível 4","Nível 3","Nível 2","Meta","Serviço")</f>
        <v>Serviço</v>
      </c>
      <c r="L1" s="128"/>
      <c r="M1" s="129"/>
      <c r="N1" s="130"/>
      <c r="O1" s="131"/>
      <c r="P1" s="132"/>
      <c r="Q1" s="133">
        <f>IF($A1="S",0,$R1)</f>
        <v>0</v>
      </c>
      <c r="R1" s="1" t="e">
        <f>IF($A1="S",IF(RegimeExecucao="Global",ROUND($Q1,arredtot),total),IF($A1=0,0,ROUND(SomaAgrup,arredtot)))</f>
        <v>#REF!</v>
      </c>
      <c r="S1" s="2" t="e">
        <f ca="1">IF(AND($A1="S",COUNTIF($Z$10:$AW$10,mediçao-1)&gt;0),SUM(OFFSET($Z1,0,0,1,MATCH(mediçao-1,$Z$10:$AW$10,0))),IF(AND(RegimeExecucao="Global",$R1&gt;0,COUNTIF($Z$10:$AW$10,mediçao-1)&gt;0),V1/$R1*100,0))</f>
        <v>#REF!</v>
      </c>
      <c r="T1" s="3" t="e">
        <f ca="1">U1-S1</f>
        <v>#REF!</v>
      </c>
      <c r="U1" s="4" t="e">
        <f ca="1">IF(AND($A1="S",COUNTIF($Z$10:$AW$10,mediçao)&gt;0),SUM(OFFSET($Z1,0,0,1,MATCH(mediçao,$Z$10:$AW$10,0))),IF(AND(RegimeExecucao="Global",$R1&gt;0,COUNTIF($Z$10:$AW$10,mediçao)&gt;0),X1/$R1*100,0))</f>
        <v>#REF!</v>
      </c>
      <c r="V1" s="5" t="e">
        <f>IF($A1="S",VTOTAL,IF($A1=0,0,ROUND(SomaAgrup,arredtot)))</f>
        <v>#REF!</v>
      </c>
      <c r="W1" s="6" t="e">
        <f>X1-V1</f>
        <v>#REF!</v>
      </c>
      <c r="X1" s="7" t="e">
        <f>IF($A1="S",VTOTAL,IF($A1=0,0,ROUND(SomaAgrup,arredtot)))</f>
        <v>#REF!</v>
      </c>
      <c r="Y1" s="134"/>
      <c r="Z1" s="135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7"/>
      <c r="AL1" s="135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7"/>
      <c r="AX1" s="16"/>
      <c r="AY1" s="138">
        <v>0</v>
      </c>
      <c r="AZ1" s="8">
        <f>BA1-AY1</f>
        <v>0</v>
      </c>
      <c r="BA1" s="139">
        <v>0</v>
      </c>
      <c r="BB1" s="9" t="e">
        <f>IF($A1="S",VTOTAL,IF($A1=0,0,ROUND(SomaAgrup,arredtot)))</f>
        <v>#REF!</v>
      </c>
      <c r="BC1" s="10" t="e">
        <f>BD1-BB1</f>
        <v>#REF!</v>
      </c>
      <c r="BD1" s="11" t="e">
        <f>IF($A1="S",VTOTAL,IF($A1=0,0,ROUND(SomaAgrup,arredtot)))</f>
        <v>#REF!</v>
      </c>
      <c r="BF1" s="701" t="e">
        <f>IF(BK1&gt;0,L1,"")</f>
        <v>#REF!</v>
      </c>
      <c r="BG1" s="702"/>
      <c r="BH1" s="12" t="e">
        <f>IF(BK1&gt;0,M1,"")</f>
        <v>#REF!</v>
      </c>
      <c r="BI1" s="703" t="e">
        <f>IF(BK1&gt;0,N1,"")</f>
        <v>#REF!</v>
      </c>
      <c r="BJ1" s="704"/>
      <c r="BK1" s="705" t="e">
        <f>IF(BR1&gt;0,CHOOSE(MATCH(RegimeExecucao,{"Unitário","Global"},0),IF($A1="S",BR1/BN1,""),(BR1/BN1)*100),"")</f>
        <v>#REF!</v>
      </c>
      <c r="BL1" s="706"/>
      <c r="BM1" s="707"/>
      <c r="BN1" s="708" t="e">
        <f>IF(BR1&gt;0,CHOOSE(MATCH(RegimeExecucao,{"Unitário","Global"},0),IF($A1="S",ROUND(P1,arredunit),""),ROUND(R1,arredtot)),"")</f>
        <v>#REF!</v>
      </c>
      <c r="BO1" s="709"/>
      <c r="BP1" s="709"/>
      <c r="BQ1" s="710"/>
      <c r="BR1" s="708" t="e">
        <f>$X1-$BD1</f>
        <v>#REF!</v>
      </c>
      <c r="BS1" s="709"/>
      <c r="BT1" s="709"/>
      <c r="BU1" s="710"/>
      <c r="BV1" s="711"/>
      <c r="BW1" s="711"/>
      <c r="BX1" s="711"/>
      <c r="BY1" s="711"/>
      <c r="BZ1" s="711"/>
      <c r="CA1" s="712"/>
      <c r="CB1" s="16"/>
      <c r="CC1" s="16"/>
    </row>
    <row r="2" spans="1:81" hidden="1">
      <c r="I2" s="16"/>
      <c r="J2" s="16"/>
      <c r="K2" s="16"/>
      <c r="L2" s="13"/>
      <c r="M2" s="14"/>
      <c r="N2" s="15"/>
      <c r="O2" s="15"/>
      <c r="P2" s="15"/>
      <c r="Q2" s="15"/>
      <c r="R2" s="15"/>
      <c r="S2" s="15"/>
      <c r="T2" s="13"/>
      <c r="U2" s="13"/>
      <c r="V2" s="13"/>
      <c r="W2" s="15"/>
      <c r="X2" s="16"/>
      <c r="Y2" s="17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</row>
    <row r="3" spans="1:81" hidden="1">
      <c r="C3" s="18" t="s">
        <v>0</v>
      </c>
      <c r="D3" s="18" t="s">
        <v>1</v>
      </c>
      <c r="E3" s="18" t="s">
        <v>2</v>
      </c>
      <c r="F3" s="18" t="s">
        <v>3</v>
      </c>
      <c r="G3" s="18" t="s">
        <v>4</v>
      </c>
      <c r="I3" s="16"/>
      <c r="J3" s="16"/>
      <c r="K3" s="16"/>
      <c r="L3" s="19"/>
      <c r="M3" s="19"/>
      <c r="N3" s="19"/>
      <c r="O3" s="20" t="b">
        <v>1</v>
      </c>
      <c r="P3" s="20" t="b">
        <v>1</v>
      </c>
      <c r="Q3" s="20"/>
      <c r="R3" s="21" t="b">
        <v>1</v>
      </c>
      <c r="S3" s="21" t="b">
        <v>1</v>
      </c>
      <c r="T3" s="22"/>
      <c r="U3" s="22"/>
      <c r="V3" s="22"/>
      <c r="W3" s="140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</row>
    <row r="4" spans="1:81" hidden="1">
      <c r="I4" s="16"/>
      <c r="J4" s="16"/>
      <c r="K4" s="16"/>
      <c r="L4" s="13"/>
      <c r="M4" s="13"/>
      <c r="N4" s="13"/>
      <c r="O4" s="13"/>
      <c r="P4" s="13"/>
      <c r="Q4" s="13"/>
      <c r="R4" s="13"/>
      <c r="S4" s="13"/>
      <c r="T4" s="59"/>
      <c r="U4" s="23"/>
      <c r="V4" s="23"/>
      <c r="W4" s="141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</row>
    <row r="5" spans="1:81" ht="13.8">
      <c r="I5" s="16"/>
      <c r="J5" s="16"/>
      <c r="K5" s="16"/>
      <c r="L5" s="16"/>
      <c r="M5" s="738" t="s">
        <v>269</v>
      </c>
      <c r="N5" s="738"/>
      <c r="O5" s="738"/>
      <c r="P5" s="738"/>
      <c r="Q5" s="24"/>
      <c r="R5" s="24"/>
      <c r="S5" s="24"/>
      <c r="T5" s="24"/>
      <c r="U5" s="24"/>
      <c r="V5" s="24"/>
      <c r="W5" s="24"/>
      <c r="X5" s="739" t="s">
        <v>266</v>
      </c>
      <c r="Y5" s="59"/>
      <c r="Z5" s="59"/>
      <c r="AA5" s="59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 t="s">
        <v>5</v>
      </c>
    </row>
    <row r="6" spans="1:81" ht="13.8">
      <c r="I6" s="16"/>
      <c r="J6" s="16"/>
      <c r="K6" s="16"/>
      <c r="L6" s="16"/>
      <c r="M6" s="193" t="s">
        <v>242</v>
      </c>
      <c r="N6" s="194"/>
      <c r="O6" s="195"/>
      <c r="P6" s="195"/>
      <c r="Q6" s="25"/>
      <c r="R6" s="25"/>
      <c r="S6" s="25"/>
      <c r="T6" s="25"/>
      <c r="U6" s="25"/>
      <c r="V6" s="25"/>
      <c r="W6" s="25"/>
      <c r="X6" s="740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 t="s">
        <v>6</v>
      </c>
    </row>
    <row r="7" spans="1:81" ht="15.6">
      <c r="I7" s="26"/>
      <c r="J7" s="26"/>
      <c r="K7" s="26"/>
      <c r="L7" s="30" t="s">
        <v>272</v>
      </c>
      <c r="N7" s="31"/>
      <c r="O7" s="192"/>
      <c r="P7" s="192"/>
      <c r="Q7" s="192"/>
      <c r="S7" s="28"/>
      <c r="T7" s="32" t="s">
        <v>7</v>
      </c>
      <c r="U7" s="741" t="s">
        <v>271</v>
      </c>
      <c r="V7" s="742"/>
      <c r="W7" s="33" t="s">
        <v>8</v>
      </c>
      <c r="X7" s="142">
        <v>2</v>
      </c>
      <c r="Y7" s="26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26"/>
      <c r="AZ7" s="26"/>
      <c r="BA7" s="26"/>
      <c r="BC7" s="33" t="s">
        <v>8</v>
      </c>
      <c r="BD7" s="34" t="e">
        <f>mediçao</f>
        <v>#REF!</v>
      </c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 t="s">
        <v>9</v>
      </c>
    </row>
    <row r="8" spans="1:81" ht="21">
      <c r="I8" s="144" t="str">
        <f>RegimeExecucao</f>
        <v>Unitário</v>
      </c>
      <c r="J8" s="144"/>
      <c r="K8" s="26"/>
      <c r="L8" s="98" t="s">
        <v>268</v>
      </c>
      <c r="M8" s="192"/>
      <c r="N8" s="192"/>
      <c r="O8" s="743"/>
      <c r="P8" s="743"/>
      <c r="Q8" s="743"/>
      <c r="R8" s="743"/>
      <c r="S8" s="28"/>
      <c r="T8" s="29"/>
      <c r="U8" s="28"/>
      <c r="V8" s="36"/>
      <c r="W8" s="145"/>
      <c r="X8" s="33"/>
      <c r="Y8" s="26"/>
      <c r="Z8" s="146"/>
      <c r="AA8" s="147"/>
      <c r="AB8" s="147"/>
      <c r="AC8" s="147"/>
      <c r="AD8" s="147"/>
      <c r="AE8" s="744" t="s">
        <v>10</v>
      </c>
      <c r="AF8" s="744"/>
      <c r="AG8" s="147"/>
      <c r="AH8" s="147"/>
      <c r="AI8" s="147"/>
      <c r="AJ8" s="147"/>
      <c r="AK8" s="148"/>
      <c r="AL8" s="146"/>
      <c r="AM8" s="147"/>
      <c r="AN8" s="147"/>
      <c r="AO8" s="147"/>
      <c r="AP8" s="147"/>
      <c r="AQ8" s="744" t="s">
        <v>10</v>
      </c>
      <c r="AR8" s="744"/>
      <c r="AS8" s="147"/>
      <c r="AT8" s="147"/>
      <c r="AU8" s="147"/>
      <c r="AV8" s="147"/>
      <c r="AW8" s="148"/>
      <c r="AX8" s="26"/>
      <c r="AY8" s="37"/>
      <c r="AZ8" s="37"/>
      <c r="BA8" s="37"/>
      <c r="BB8" s="37"/>
      <c r="BC8" s="37"/>
      <c r="BD8" s="37"/>
      <c r="BF8" s="731" t="s">
        <v>11</v>
      </c>
      <c r="BG8" s="732"/>
      <c r="BH8" s="732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38"/>
      <c r="CB8" s="26"/>
      <c r="CC8" s="26" t="s">
        <v>12</v>
      </c>
    </row>
    <row r="9" spans="1:81" ht="39.6">
      <c r="I9" s="149"/>
      <c r="J9" s="149"/>
      <c r="K9" s="149"/>
      <c r="L9" s="733" t="s">
        <v>13</v>
      </c>
      <c r="M9" s="734"/>
      <c r="N9" s="39"/>
      <c r="O9" s="39"/>
      <c r="P9" s="39"/>
      <c r="Q9" s="39"/>
      <c r="R9" s="40"/>
      <c r="S9" s="733" t="str">
        <f>"Evolução Física "&amp;CHOOSE(MATCH(RegimeExecucao,{"Unitário","Global"},0),"(Qtde.)","(%)")</f>
        <v>Evolução Física (Qtde.)</v>
      </c>
      <c r="T9" s="734"/>
      <c r="U9" s="735"/>
      <c r="V9" s="733" t="s">
        <v>14</v>
      </c>
      <c r="W9" s="734"/>
      <c r="X9" s="735"/>
      <c r="Y9" s="150"/>
      <c r="Z9" s="151">
        <v>44077</v>
      </c>
      <c r="AA9" s="151">
        <v>44131</v>
      </c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49"/>
      <c r="AY9" s="733" t="str">
        <f>"Aferição Física "&amp;CHOOSE(MATCH(RegimeExecucao,{"Unitário","Global"},0),"(Qtde.)","(%)")</f>
        <v>Aferição Física (Qtde.)</v>
      </c>
      <c r="AZ9" s="734"/>
      <c r="BA9" s="735"/>
      <c r="BB9" s="733" t="s">
        <v>15</v>
      </c>
      <c r="BC9" s="734"/>
      <c r="BD9" s="735"/>
      <c r="BF9" s="736" t="s">
        <v>16</v>
      </c>
      <c r="BG9" s="737"/>
      <c r="BH9" s="737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40"/>
      <c r="CB9" s="149"/>
      <c r="CC9" s="149" t="s">
        <v>17</v>
      </c>
    </row>
    <row r="10" spans="1:81" ht="39.6">
      <c r="A10" s="41" t="s">
        <v>18</v>
      </c>
      <c r="B10" s="41" t="s">
        <v>19</v>
      </c>
      <c r="C10" s="41" t="s">
        <v>20</v>
      </c>
      <c r="D10" s="41" t="s">
        <v>21</v>
      </c>
      <c r="E10" s="41" t="s">
        <v>22</v>
      </c>
      <c r="F10" s="41" t="s">
        <v>23</v>
      </c>
      <c r="G10" s="41" t="s">
        <v>24</v>
      </c>
      <c r="H10" s="41" t="s">
        <v>25</v>
      </c>
      <c r="I10" s="41" t="s">
        <v>26</v>
      </c>
      <c r="J10" s="41"/>
      <c r="K10" s="41" t="s">
        <v>18</v>
      </c>
      <c r="L10" s="41" t="s">
        <v>27</v>
      </c>
      <c r="M10" s="41" t="s">
        <v>28</v>
      </c>
      <c r="N10" s="41" t="s">
        <v>29</v>
      </c>
      <c r="O10" s="41" t="s">
        <v>30</v>
      </c>
      <c r="P10" s="41" t="s">
        <v>31</v>
      </c>
      <c r="Q10" s="41" t="s">
        <v>32</v>
      </c>
      <c r="R10" s="41" t="s">
        <v>32</v>
      </c>
      <c r="S10" s="41" t="s">
        <v>33</v>
      </c>
      <c r="T10" s="41" t="s">
        <v>34</v>
      </c>
      <c r="U10" s="41" t="s">
        <v>35</v>
      </c>
      <c r="V10" s="191" t="s">
        <v>33</v>
      </c>
      <c r="W10" s="41" t="s">
        <v>34</v>
      </c>
      <c r="X10" s="41" t="s">
        <v>35</v>
      </c>
      <c r="Y10" s="152"/>
      <c r="Z10" s="153">
        <v>1</v>
      </c>
      <c r="AA10" s="43">
        <f ca="1">OFFSET(AA10,0,-1)+1</f>
        <v>2</v>
      </c>
      <c r="AB10" s="43">
        <f t="shared" ref="AB10:AW10" ca="1" si="0">OFFSET(AB10,0,-1)+1</f>
        <v>3</v>
      </c>
      <c r="AC10" s="43">
        <f t="shared" ca="1" si="0"/>
        <v>4</v>
      </c>
      <c r="AD10" s="43">
        <f t="shared" ca="1" si="0"/>
        <v>5</v>
      </c>
      <c r="AE10" s="43">
        <f t="shared" ca="1" si="0"/>
        <v>6</v>
      </c>
      <c r="AF10" s="43">
        <f t="shared" ca="1" si="0"/>
        <v>7</v>
      </c>
      <c r="AG10" s="43">
        <f t="shared" ca="1" si="0"/>
        <v>8</v>
      </c>
      <c r="AH10" s="43">
        <f t="shared" ca="1" si="0"/>
        <v>9</v>
      </c>
      <c r="AI10" s="43">
        <f t="shared" ca="1" si="0"/>
        <v>10</v>
      </c>
      <c r="AJ10" s="43">
        <f t="shared" ca="1" si="0"/>
        <v>11</v>
      </c>
      <c r="AK10" s="43">
        <f t="shared" ca="1" si="0"/>
        <v>12</v>
      </c>
      <c r="AL10" s="43">
        <f t="shared" ca="1" si="0"/>
        <v>13</v>
      </c>
      <c r="AM10" s="43">
        <f t="shared" ca="1" si="0"/>
        <v>14</v>
      </c>
      <c r="AN10" s="43">
        <f t="shared" ca="1" si="0"/>
        <v>15</v>
      </c>
      <c r="AO10" s="43">
        <f t="shared" ca="1" si="0"/>
        <v>16</v>
      </c>
      <c r="AP10" s="43">
        <f t="shared" ca="1" si="0"/>
        <v>17</v>
      </c>
      <c r="AQ10" s="43">
        <f t="shared" ca="1" si="0"/>
        <v>18</v>
      </c>
      <c r="AR10" s="43">
        <f t="shared" ca="1" si="0"/>
        <v>19</v>
      </c>
      <c r="AS10" s="43">
        <f t="shared" ca="1" si="0"/>
        <v>20</v>
      </c>
      <c r="AT10" s="43">
        <f t="shared" ca="1" si="0"/>
        <v>21</v>
      </c>
      <c r="AU10" s="43">
        <f t="shared" ca="1" si="0"/>
        <v>22</v>
      </c>
      <c r="AV10" s="43">
        <f t="shared" ca="1" si="0"/>
        <v>23</v>
      </c>
      <c r="AW10" s="43">
        <f t="shared" ca="1" si="0"/>
        <v>24</v>
      </c>
      <c r="AX10" s="84"/>
      <c r="AY10" s="41" t="s">
        <v>33</v>
      </c>
      <c r="AZ10" s="41" t="s">
        <v>34</v>
      </c>
      <c r="BA10" s="41" t="s">
        <v>35</v>
      </c>
      <c r="BB10" s="191" t="s">
        <v>33</v>
      </c>
      <c r="BC10" s="41" t="s">
        <v>34</v>
      </c>
      <c r="BD10" s="41" t="s">
        <v>35</v>
      </c>
      <c r="BF10" s="722" t="s">
        <v>36</v>
      </c>
      <c r="BG10" s="723"/>
      <c r="BH10" s="154" t="str">
        <f>M10</f>
        <v>Discriminação</v>
      </c>
      <c r="BI10" s="722" t="s">
        <v>29</v>
      </c>
      <c r="BJ10" s="723"/>
      <c r="BK10" s="722" t="str">
        <f>CHOOSE(MATCH(RegimeExecucao,{"Unitário","Global"},0),"Quant. Glosada (unid)","Percentual Glosado (%)")</f>
        <v>Quant. Glosada (unid)</v>
      </c>
      <c r="BL10" s="724"/>
      <c r="BM10" s="723"/>
      <c r="BN10" s="722" t="str">
        <f>CHOOSE(MATCH(RegimeExecucao,{"Unitário","Global"},0),"Preço Unitário (R$)","Valor Total do Item (R$)")</f>
        <v>Preço Unitário (R$)</v>
      </c>
      <c r="BO10" s="724"/>
      <c r="BP10" s="724"/>
      <c r="BQ10" s="723"/>
      <c r="BR10" s="725" t="s">
        <v>37</v>
      </c>
      <c r="BS10" s="726"/>
      <c r="BT10" s="726"/>
      <c r="BU10" s="727"/>
      <c r="BV10" s="728" t="s">
        <v>38</v>
      </c>
      <c r="BW10" s="729"/>
      <c r="BX10" s="729"/>
      <c r="BY10" s="729"/>
      <c r="BZ10" s="729"/>
      <c r="CA10" s="730"/>
      <c r="CB10" s="84"/>
      <c r="CC10" s="84"/>
    </row>
    <row r="11" spans="1:81" ht="13.8">
      <c r="B11" s="59">
        <f ca="1">COUNTA(OFFSET(B11,1,0):B$102)</f>
        <v>78</v>
      </c>
      <c r="I11" s="152"/>
      <c r="J11" s="152"/>
      <c r="K11" s="155"/>
      <c r="L11" s="716"/>
      <c r="M11" s="717"/>
      <c r="N11" s="718"/>
      <c r="O11" s="716" t="s">
        <v>39</v>
      </c>
      <c r="P11" s="718"/>
      <c r="Q11" s="156">
        <f>$R11</f>
        <v>185801.47100000002</v>
      </c>
      <c r="R11" s="156">
        <f>SUM(R12+R15+R18+R31+R33+R39+R43+R51+R62+R67+R73+R83+R85)</f>
        <v>185801.47100000002</v>
      </c>
      <c r="S11" s="156">
        <f ca="1">SUM(S12+S15+S18+S31+S33+S39+S43+S51+S62+S67+S73+S83+S85)</f>
        <v>0</v>
      </c>
      <c r="T11" s="157">
        <f ca="1">U11-S11</f>
        <v>0</v>
      </c>
      <c r="U11" s="158">
        <f>IF($X$11=0,0,IF(RegimeExecucao="Global",X11/$R11*100,0))</f>
        <v>0</v>
      </c>
      <c r="V11" s="156">
        <f>SUM(V12+V15+V18+V31+V33+V39+V43+V51+V62+V67+V73+V83+V85)</f>
        <v>23197.060909090906</v>
      </c>
      <c r="W11" s="156">
        <f>SUM(W12+W15+W18+W31+W33+W39+W43+W51+W62+W67+W73+W83+W85)</f>
        <v>8432.5527847021312</v>
      </c>
      <c r="X11" s="158">
        <f>V11+W11</f>
        <v>31629.613693793035</v>
      </c>
      <c r="Y11" s="160"/>
      <c r="Z11" s="161"/>
      <c r="AA11" s="162"/>
      <c r="AB11" s="162"/>
      <c r="AC11" s="719" t="str">
        <f>"Preencher abaixo com a "&amp;CHOOSE(MATCH(RegimeExecucao,{"Unitário","Global"},0),"QUANTIDADE","PERCENTAGEM")&amp;" executada no PERÍODO"</f>
        <v>Preencher abaixo com a QUANTIDADE executada no PERÍODO</v>
      </c>
      <c r="AD11" s="719"/>
      <c r="AE11" s="719"/>
      <c r="AF11" s="719"/>
      <c r="AG11" s="719"/>
      <c r="AH11" s="719"/>
      <c r="AI11" s="162"/>
      <c r="AJ11" s="162"/>
      <c r="AK11" s="163"/>
      <c r="AL11" s="161"/>
      <c r="AM11" s="162"/>
      <c r="AN11" s="162"/>
      <c r="AO11" s="719" t="str">
        <f>"Preencher abaixo com a "&amp;CHOOSE(MATCH(RegimeExecucao,{"Unitário","Global"},0),"QUANTIDADE","PERCENTAGEM")&amp;" executada no PERÍODO"</f>
        <v>Preencher abaixo com a QUANTIDADE executada no PERÍODO</v>
      </c>
      <c r="AP11" s="719"/>
      <c r="AQ11" s="719"/>
      <c r="AR11" s="719"/>
      <c r="AS11" s="719"/>
      <c r="AT11" s="719"/>
      <c r="AU11" s="162"/>
      <c r="AV11" s="162"/>
      <c r="AW11" s="163"/>
      <c r="AX11" s="152"/>
      <c r="AY11" s="156" t="e">
        <f ca="1">IF(BB11=0,0,IF(RegimeExecucao="Global",BB11/$R11*100,0))</f>
        <v>#REF!</v>
      </c>
      <c r="AZ11" s="157" t="e">
        <f ca="1">BA11-AY11</f>
        <v>#REF!</v>
      </c>
      <c r="BA11" s="158" t="e">
        <f ca="1">IF(BD11=0,0,IF(RegimeExecucao="Global",BD11/$R11*100,0))</f>
        <v>#REF!</v>
      </c>
      <c r="BB11" s="159" t="e">
        <f ca="1">SUMIF(OFFSET(K11,1,0):K89,"serviço",OFFSET(BB11,1,0):BB$89)</f>
        <v>#REF!</v>
      </c>
      <c r="BC11" s="158" t="e">
        <f ca="1">BD11-BB11</f>
        <v>#REF!</v>
      </c>
      <c r="BD11" s="158" t="e">
        <f ca="1">SUMIF(OFFSET($K11,1,0):K89,"serviço",OFFSET(BD11,1,0):BD$89)</f>
        <v>#REF!</v>
      </c>
      <c r="BF11" s="720"/>
      <c r="BG11" s="720"/>
      <c r="BH11" s="164" t="s">
        <v>39</v>
      </c>
      <c r="BI11" s="721"/>
      <c r="BJ11" s="721"/>
      <c r="BK11" s="713" t="e">
        <f ca="1">IF(BR11=0,0,IF(RegimeExecucao="Global",BR11/$R11*100,0))</f>
        <v>#REF!</v>
      </c>
      <c r="BL11" s="713">
        <f>IF(BO11=0,0,IF(RegimeExecucao="Global",BO11/$R11*100,0))</f>
        <v>0</v>
      </c>
      <c r="BM11" s="713">
        <f>IF(BP11=0,0,IF(RegimeExecucao="Global",BP11/$R11*100,0))</f>
        <v>0</v>
      </c>
      <c r="BN11" s="714" t="e">
        <f ca="1">IF(AND($A11="S",BR11&gt;0),CHOOSE(MATCH(RegimeExecucao,{"Unitário","Global"},0),ROUND(P11,arredunit),ROUND(R11,arredtot)),"")</f>
        <v>#REF!</v>
      </c>
      <c r="BO11" s="714"/>
      <c r="BP11" s="714"/>
      <c r="BQ11" s="714"/>
      <c r="BR11" s="714" t="e">
        <f t="shared" ref="BR11:BR74" ca="1" si="1">$X11-$BD11</f>
        <v>#REF!</v>
      </c>
      <c r="BS11" s="714"/>
      <c r="BT11" s="714"/>
      <c r="BU11" s="714"/>
      <c r="BV11" s="715"/>
      <c r="BW11" s="715"/>
      <c r="BX11" s="715"/>
      <c r="BY11" s="715"/>
      <c r="BZ11" s="715"/>
      <c r="CA11" s="715"/>
      <c r="CB11" s="152"/>
      <c r="CC11" s="152"/>
    </row>
    <row r="12" spans="1:81" ht="13.8">
      <c r="A12" s="59">
        <f>CHOOSE(1+LOG(1+2*(K12="Meta")+4*(K12="Nível 2")+8*(K12="Nível 3")+16*(K12="Nível 4")+32*(K12="Serviço"),2),0,1,2,3,4,"S")</f>
        <v>1</v>
      </c>
      <c r="B12" s="59">
        <f ca="1">IF(OR(A12="S",A12=0),0,IF(ISERROR(I12),H12,SMALL(H12:I12,1)))</f>
        <v>3</v>
      </c>
      <c r="C12" s="59">
        <f t="shared" ref="C12:C75" ca="1" si="2">IF($A12=1,OFFSET(C12,-1,0)+1,OFFSET(C12,-1,0))</f>
        <v>1</v>
      </c>
      <c r="D12" s="59">
        <f t="shared" ref="D12:D75" ca="1" si="3">IF($A12=1,0,IF($A12=2,OFFSET(D12,-1,0)+1,OFFSET(D12,-1,0)))</f>
        <v>0</v>
      </c>
      <c r="E12" s="59">
        <f t="shared" ref="E12:E75" ca="1" si="4">IF(AND($A12&lt;=2,$A12&lt;&gt;0),0,IF($A12=3,OFFSET(E12,-1,0)+1,OFFSET(E12,-1,0)))</f>
        <v>0</v>
      </c>
      <c r="F12" s="59">
        <f t="shared" ref="F12:F75" ca="1" si="5">IF(AND($A12&lt;=3,$A12&lt;&gt;0),0,IF($A12=4,OFFSET(F12,-1,0)+1,OFFSET(F12,-1,0)))</f>
        <v>0</v>
      </c>
      <c r="G12" s="59">
        <f t="shared" ref="G12:G75" ca="1" si="6">IF(AND($A12&lt;=4,$A12&lt;&gt;0),0,IF($A12="S",OFFSET(G12,-1,0)+1,OFFSET(G12,-1,0)))</f>
        <v>0</v>
      </c>
      <c r="H12" s="59">
        <f t="shared" ref="H12:H75" ca="1" si="7">IF(OR($A12="S",$A12=0),0,MATCH(0,OFFSET($B12,1,$A12,ROW($A$89)-ROW($A12)),0))</f>
        <v>77</v>
      </c>
      <c r="I12" s="59">
        <f t="shared" ref="I12:I75" ca="1" si="8">IF(OR($A12="S",$A12=0),0,MATCH(OFFSET($B12,0,$A12)+1,OFFSET($B12,1,$A12,ROW($A$89)-ROW($A12)),0))</f>
        <v>3</v>
      </c>
      <c r="J12" s="59">
        <f t="shared" ref="J12:J75" si="9">LEN(LEFT($L12,LEN($L12)-1*(RIGHT($L12,1)=".")))-LEN(SUBSTITUTE(LEFT($L12,LEN($L12)-1*(RIGHT($L12,1)=".")),".",""))</f>
        <v>0</v>
      </c>
      <c r="K12" s="127" t="s">
        <v>0</v>
      </c>
      <c r="L12" s="128">
        <v>1</v>
      </c>
      <c r="M12" s="129" t="s">
        <v>40</v>
      </c>
      <c r="N12" s="130"/>
      <c r="O12" s="131"/>
      <c r="P12" s="132"/>
      <c r="Q12" s="133">
        <f>IF($A12="S",0,$R12)</f>
        <v>8356.7099999999991</v>
      </c>
      <c r="R12" s="1">
        <f>SUM(R13:R14)</f>
        <v>8356.7099999999991</v>
      </c>
      <c r="S12" s="2">
        <f t="shared" ref="S12:S75" ca="1" si="10">IF(AND($A12="S",COUNTIF($Z$10:$AW$10,mediçao-1)&gt;0),SUM(OFFSET($Z12,0,0,1,MATCH(mediçao-1,$Z$10:$AW$10,0))),IF(AND(RegimeExecucao="Global",$R12&gt;0,COUNTIF($Z$10:$AW$10,mediçao-1)&gt;0),V12/$R12*100,0))</f>
        <v>0</v>
      </c>
      <c r="T12" s="3">
        <f ca="1">U12-S12</f>
        <v>0</v>
      </c>
      <c r="U12" s="4">
        <f ca="1">IF(AND($A12="S",COUNTIF($Z$10:$AW$10,mediçao)&gt;0),SUM(OFFSET($Z12,0,0,1,MATCH(mediçao,$Z$10:$AW$10,0))),IF(AND(RegimeExecucao="Global",$R12&gt;0,COUNTIF($Z$10:$AW$10,mediçao)&gt;0),X12/$R12*100,0))</f>
        <v>0</v>
      </c>
      <c r="V12" s="1">
        <f>SUM(V13:V14)</f>
        <v>8356.7099999999991</v>
      </c>
      <c r="W12" s="1">
        <f>SUM(W13:W14)</f>
        <v>0</v>
      </c>
      <c r="X12" s="158">
        <f>V12+W12</f>
        <v>8356.7099999999991</v>
      </c>
      <c r="Y12" s="134"/>
      <c r="Z12" s="135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7"/>
      <c r="AL12" s="135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7"/>
      <c r="AX12" s="16"/>
      <c r="AY12" s="138">
        <v>0</v>
      </c>
      <c r="AZ12" s="8">
        <f>BA12-AY12</f>
        <v>0</v>
      </c>
      <c r="BA12" s="139">
        <v>0</v>
      </c>
      <c r="BB12" s="9" t="e">
        <f t="shared" ref="BB12:BB75" ca="1" si="11">IF($A12="S",VTOTAL,IF($A12=0,0,ROUND(SomaAgrup,arredtot)))</f>
        <v>#REF!</v>
      </c>
      <c r="BC12" s="10" t="e">
        <f ca="1">BD12-BB12</f>
        <v>#REF!</v>
      </c>
      <c r="BD12" s="11" t="e">
        <f t="shared" ref="BD12:BD75" ca="1" si="12">IF($A12="S",VTOTAL,IF($A12=0,0,ROUND(SomaAgrup,arredtot)))</f>
        <v>#REF!</v>
      </c>
      <c r="BF12" s="701" t="e">
        <f ca="1">IF(BK12&gt;0,L12,"")</f>
        <v>#REF!</v>
      </c>
      <c r="BG12" s="702"/>
      <c r="BH12" s="12" t="e">
        <f ca="1">IF(BK12&gt;0,M12,"")</f>
        <v>#REF!</v>
      </c>
      <c r="BI12" s="703" t="e">
        <f ca="1">IF(BK12&gt;0,N12,"")</f>
        <v>#REF!</v>
      </c>
      <c r="BJ12" s="704"/>
      <c r="BK12" s="705" t="e">
        <f ca="1">IF(BR12&gt;0,CHOOSE(MATCH(RegimeExecucao,{"Unitário","Global"},0),IF($A12="S",BR12/BN12,""),(BR12/BN12)*100),"")</f>
        <v>#REF!</v>
      </c>
      <c r="BL12" s="706"/>
      <c r="BM12" s="707"/>
      <c r="BN12" s="708" t="e">
        <f ca="1">IF(BR12&gt;0,CHOOSE(MATCH(RegimeExecucao,{"Unitário","Global"},0),IF($A12="S",ROUND(P12,arredunit),""),ROUND(R12,arredtot)),"")</f>
        <v>#REF!</v>
      </c>
      <c r="BO12" s="709"/>
      <c r="BP12" s="709"/>
      <c r="BQ12" s="710"/>
      <c r="BR12" s="708" t="e">
        <f t="shared" ca="1" si="1"/>
        <v>#REF!</v>
      </c>
      <c r="BS12" s="709"/>
      <c r="BT12" s="709"/>
      <c r="BU12" s="710"/>
      <c r="BV12" s="711"/>
      <c r="BW12" s="711"/>
      <c r="BX12" s="711"/>
      <c r="BY12" s="711"/>
      <c r="BZ12" s="711"/>
      <c r="CA12" s="712"/>
      <c r="CB12" s="16"/>
      <c r="CC12" s="16"/>
    </row>
    <row r="13" spans="1:81" ht="39.6">
      <c r="A13" s="59" t="str">
        <f t="shared" ref="A13:A76" si="13">CHOOSE(1+LOG(1+2*(K13="Meta")+4*(K13="Nível 2")+8*(K13="Nível 3")+16*(K13="Nível 4")+32*(K13="Serviço"),2),0,1,2,3,4,"S")</f>
        <v>S</v>
      </c>
      <c r="B13" s="59">
        <f t="shared" ref="B13:B76" si="14">IF(OR(A13="S",A13=0),0,IF(ISERROR(I13),H13,SMALL(H13:I13,1)))</f>
        <v>0</v>
      </c>
      <c r="C13" s="59">
        <f t="shared" ca="1" si="2"/>
        <v>1</v>
      </c>
      <c r="D13" s="59">
        <f t="shared" ca="1" si="3"/>
        <v>0</v>
      </c>
      <c r="E13" s="59">
        <f t="shared" ca="1" si="4"/>
        <v>0</v>
      </c>
      <c r="F13" s="59">
        <f t="shared" ca="1" si="5"/>
        <v>0</v>
      </c>
      <c r="G13" s="59">
        <f t="shared" ca="1" si="6"/>
        <v>1</v>
      </c>
      <c r="H13" s="59">
        <f t="shared" ca="1" si="7"/>
        <v>0</v>
      </c>
      <c r="I13" s="59">
        <f t="shared" ca="1" si="8"/>
        <v>0</v>
      </c>
      <c r="J13" s="59">
        <f t="shared" si="9"/>
        <v>1</v>
      </c>
      <c r="K13" s="127" t="s">
        <v>4</v>
      </c>
      <c r="L13" s="165" t="s">
        <v>41</v>
      </c>
      <c r="M13" s="129" t="s">
        <v>42</v>
      </c>
      <c r="N13" s="130" t="s">
        <v>43</v>
      </c>
      <c r="O13" s="131">
        <v>9.9999329915904429</v>
      </c>
      <c r="P13" s="132">
        <v>596.94000000000005</v>
      </c>
      <c r="Q13" s="133">
        <f t="shared" ref="Q13:Q76" si="15">IF($A13="S",0,$R13)</f>
        <v>0</v>
      </c>
      <c r="R13" s="1">
        <f>P13*O13</f>
        <v>5969.36</v>
      </c>
      <c r="S13" s="2">
        <v>10</v>
      </c>
      <c r="T13" s="3"/>
      <c r="U13" s="4">
        <f>S13+T13</f>
        <v>10</v>
      </c>
      <c r="V13" s="5">
        <f>IF(O13-Z13&gt;0.01,Z13*P13,R13)</f>
        <v>5969.36</v>
      </c>
      <c r="W13" s="6">
        <f>IF(O13-AA13&gt;0.01,AA13*P13,R13)</f>
        <v>0</v>
      </c>
      <c r="X13" s="7">
        <f>V13+W13</f>
        <v>5969.36</v>
      </c>
      <c r="Y13" s="134"/>
      <c r="Z13" s="135">
        <v>10</v>
      </c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7"/>
      <c r="AL13" s="135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7"/>
      <c r="AX13" s="16"/>
      <c r="AY13" s="138">
        <v>0</v>
      </c>
      <c r="AZ13" s="8">
        <f t="shared" ref="AZ13:AZ76" si="16">BA13-AY13</f>
        <v>0</v>
      </c>
      <c r="BA13" s="139">
        <v>0</v>
      </c>
      <c r="BB13" s="9" t="e">
        <f t="shared" si="11"/>
        <v>#REF!</v>
      </c>
      <c r="BC13" s="10" t="e">
        <f t="shared" ref="BC13:BC76" si="17">BD13-BB13</f>
        <v>#REF!</v>
      </c>
      <c r="BD13" s="11" t="e">
        <f t="shared" si="12"/>
        <v>#REF!</v>
      </c>
      <c r="BF13" s="701" t="e">
        <f t="shared" ref="BF13:BF76" si="18">IF(BK13&gt;0,L13,"")</f>
        <v>#REF!</v>
      </c>
      <c r="BG13" s="702"/>
      <c r="BH13" s="12" t="e">
        <f t="shared" ref="BH13:BH76" si="19">IF(BK13&gt;0,M13,"")</f>
        <v>#REF!</v>
      </c>
      <c r="BI13" s="703" t="e">
        <f t="shared" ref="BI13:BI76" si="20">IF(BK13&gt;0,N13,"")</f>
        <v>#REF!</v>
      </c>
      <c r="BJ13" s="704"/>
      <c r="BK13" s="705" t="e">
        <f>IF(BR13&gt;0,CHOOSE(MATCH(RegimeExecucao,{"Unitário","Global"},0),IF($A13="S",BR13/BN13,""),(BR13/BN13)*100),"")</f>
        <v>#REF!</v>
      </c>
      <c r="BL13" s="706"/>
      <c r="BM13" s="707"/>
      <c r="BN13" s="708" t="e">
        <f>IF(BR13&gt;0,CHOOSE(MATCH(RegimeExecucao,{"Unitário","Global"},0),IF($A13="S",ROUND(P13,arredunit),""),ROUND(R13,arredtot)),"")</f>
        <v>#REF!</v>
      </c>
      <c r="BO13" s="709"/>
      <c r="BP13" s="709"/>
      <c r="BQ13" s="710"/>
      <c r="BR13" s="708" t="e">
        <f t="shared" si="1"/>
        <v>#REF!</v>
      </c>
      <c r="BS13" s="709"/>
      <c r="BT13" s="709"/>
      <c r="BU13" s="710"/>
      <c r="BV13" s="711"/>
      <c r="BW13" s="711"/>
      <c r="BX13" s="711"/>
      <c r="BY13" s="711"/>
      <c r="BZ13" s="711"/>
      <c r="CA13" s="712"/>
      <c r="CB13" s="16"/>
      <c r="CC13" s="16"/>
    </row>
    <row r="14" spans="1:81">
      <c r="A14" s="59" t="str">
        <f t="shared" si="13"/>
        <v>S</v>
      </c>
      <c r="B14" s="59">
        <f t="shared" si="14"/>
        <v>0</v>
      </c>
      <c r="C14" s="59">
        <f t="shared" ca="1" si="2"/>
        <v>1</v>
      </c>
      <c r="D14" s="59">
        <f t="shared" ca="1" si="3"/>
        <v>0</v>
      </c>
      <c r="E14" s="59">
        <f t="shared" ca="1" si="4"/>
        <v>0</v>
      </c>
      <c r="F14" s="59">
        <f t="shared" ca="1" si="5"/>
        <v>0</v>
      </c>
      <c r="G14" s="59">
        <f t="shared" ca="1" si="6"/>
        <v>2</v>
      </c>
      <c r="H14" s="59">
        <f t="shared" ca="1" si="7"/>
        <v>0</v>
      </c>
      <c r="I14" s="59">
        <f t="shared" ca="1" si="8"/>
        <v>0</v>
      </c>
      <c r="J14" s="59">
        <f t="shared" si="9"/>
        <v>1</v>
      </c>
      <c r="K14" s="127" t="s">
        <v>4</v>
      </c>
      <c r="L14" s="165" t="s">
        <v>44</v>
      </c>
      <c r="M14" s="129" t="s">
        <v>45</v>
      </c>
      <c r="N14" s="130" t="s">
        <v>43</v>
      </c>
      <c r="O14" s="131">
        <v>6.0000251325743292</v>
      </c>
      <c r="P14" s="132">
        <v>397.89</v>
      </c>
      <c r="Q14" s="133">
        <f t="shared" si="15"/>
        <v>0</v>
      </c>
      <c r="R14" s="1">
        <f t="shared" ref="R14:R77" si="21">P14*O14</f>
        <v>2387.35</v>
      </c>
      <c r="S14" s="2">
        <v>6</v>
      </c>
      <c r="T14" s="3"/>
      <c r="U14" s="4">
        <f t="shared" ref="U14:U77" si="22">S14+T14</f>
        <v>6</v>
      </c>
      <c r="V14" s="5">
        <f>IF(O14-Z14&gt;0.01,Z14*P14,R14)</f>
        <v>2387.35</v>
      </c>
      <c r="W14" s="6">
        <f>IF(O14-AA14&gt;0.01,AA14*P14,R14)</f>
        <v>0</v>
      </c>
      <c r="X14" s="7">
        <f t="shared" ref="X14:X77" si="23">V14+W14</f>
        <v>2387.35</v>
      </c>
      <c r="Y14" s="134"/>
      <c r="Z14" s="135">
        <v>6</v>
      </c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7"/>
      <c r="AL14" s="135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7"/>
      <c r="AX14" s="16"/>
      <c r="AY14" s="138">
        <v>0</v>
      </c>
      <c r="AZ14" s="8">
        <f t="shared" si="16"/>
        <v>0</v>
      </c>
      <c r="BA14" s="139">
        <v>0</v>
      </c>
      <c r="BB14" s="9" t="e">
        <f t="shared" si="11"/>
        <v>#REF!</v>
      </c>
      <c r="BC14" s="10" t="e">
        <f t="shared" si="17"/>
        <v>#REF!</v>
      </c>
      <c r="BD14" s="11" t="e">
        <f t="shared" si="12"/>
        <v>#REF!</v>
      </c>
      <c r="BF14" s="701" t="e">
        <f t="shared" si="18"/>
        <v>#REF!</v>
      </c>
      <c r="BG14" s="702"/>
      <c r="BH14" s="12" t="e">
        <f t="shared" si="19"/>
        <v>#REF!</v>
      </c>
      <c r="BI14" s="703" t="e">
        <f t="shared" si="20"/>
        <v>#REF!</v>
      </c>
      <c r="BJ14" s="704"/>
      <c r="BK14" s="705" t="e">
        <f>IF(BR14&gt;0,CHOOSE(MATCH(RegimeExecucao,{"Unitário","Global"},0),IF($A14="S",BR14/BN14,""),(BR14/BN14)*100),"")</f>
        <v>#REF!</v>
      </c>
      <c r="BL14" s="706"/>
      <c r="BM14" s="707"/>
      <c r="BN14" s="708" t="e">
        <f>IF(BR14&gt;0,CHOOSE(MATCH(RegimeExecucao,{"Unitário","Global"},0),IF($A14="S",ROUND(P14,arredunit),""),ROUND(R14,arredtot)),"")</f>
        <v>#REF!</v>
      </c>
      <c r="BO14" s="709"/>
      <c r="BP14" s="709"/>
      <c r="BQ14" s="710"/>
      <c r="BR14" s="708" t="e">
        <f t="shared" si="1"/>
        <v>#REF!</v>
      </c>
      <c r="BS14" s="709"/>
      <c r="BT14" s="709"/>
      <c r="BU14" s="710"/>
      <c r="BV14" s="711"/>
      <c r="BW14" s="711"/>
      <c r="BX14" s="711"/>
      <c r="BY14" s="711"/>
      <c r="BZ14" s="711"/>
      <c r="CA14" s="712"/>
      <c r="CB14" s="16"/>
      <c r="CC14" s="16"/>
    </row>
    <row r="15" spans="1:81">
      <c r="A15" s="59">
        <f t="shared" si="13"/>
        <v>1</v>
      </c>
      <c r="B15" s="59">
        <f t="shared" ca="1" si="14"/>
        <v>3</v>
      </c>
      <c r="C15" s="59">
        <f t="shared" ca="1" si="2"/>
        <v>2</v>
      </c>
      <c r="D15" s="59">
        <f t="shared" ca="1" si="3"/>
        <v>0</v>
      </c>
      <c r="E15" s="59">
        <f t="shared" ca="1" si="4"/>
        <v>0</v>
      </c>
      <c r="F15" s="59">
        <f t="shared" ca="1" si="5"/>
        <v>0</v>
      </c>
      <c r="G15" s="59">
        <f t="shared" ca="1" si="6"/>
        <v>0</v>
      </c>
      <c r="H15" s="59">
        <f t="shared" ca="1" si="7"/>
        <v>74</v>
      </c>
      <c r="I15" s="59">
        <f t="shared" ca="1" si="8"/>
        <v>3</v>
      </c>
      <c r="J15" s="59">
        <f t="shared" si="9"/>
        <v>0</v>
      </c>
      <c r="K15" s="127" t="str">
        <f>CHOOSE(1+LOG(1+2*($J15=3)+4*($J15=2)+8*($J15=1)+16*(AND($L15&lt;&gt;"",$L15&lt;&gt;0,$J15=0))+32*OR($N15&lt;&gt;"",RegimeExecucao="Global",AND($L15="",$M15="",$N15="")),2),"","Nível 4","Nível 3","Nível 2","Meta","Serviço")</f>
        <v>Meta</v>
      </c>
      <c r="L15" s="128">
        <v>2</v>
      </c>
      <c r="M15" s="129" t="s">
        <v>46</v>
      </c>
      <c r="N15" s="130"/>
      <c r="O15" s="131"/>
      <c r="P15" s="132"/>
      <c r="Q15" s="133">
        <f t="shared" si="15"/>
        <v>9325.42</v>
      </c>
      <c r="R15" s="1">
        <f>SUM(R16:R17)</f>
        <v>9325.42</v>
      </c>
      <c r="S15" s="2">
        <f t="shared" ca="1" si="10"/>
        <v>0</v>
      </c>
      <c r="T15" s="3">
        <f t="shared" ref="T15:T78" si="24">Z15</f>
        <v>0</v>
      </c>
      <c r="U15" s="4">
        <f t="shared" ca="1" si="22"/>
        <v>0</v>
      </c>
      <c r="V15" s="1">
        <f>SUM(V16:V17)</f>
        <v>1184.8499999999999</v>
      </c>
      <c r="W15" s="1">
        <f>SUM(W16:W17)</f>
        <v>0</v>
      </c>
      <c r="X15" s="7">
        <f t="shared" si="23"/>
        <v>1184.8499999999999</v>
      </c>
      <c r="Y15" s="134"/>
      <c r="Z15" s="135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7"/>
      <c r="AL15" s="135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7"/>
      <c r="AX15" s="16"/>
      <c r="AY15" s="138">
        <v>0</v>
      </c>
      <c r="AZ15" s="8">
        <f t="shared" si="16"/>
        <v>0</v>
      </c>
      <c r="BA15" s="139">
        <v>0</v>
      </c>
      <c r="BB15" s="9" t="e">
        <f t="shared" ca="1" si="11"/>
        <v>#REF!</v>
      </c>
      <c r="BC15" s="10" t="e">
        <f t="shared" ca="1" si="17"/>
        <v>#REF!</v>
      </c>
      <c r="BD15" s="11" t="e">
        <f t="shared" ca="1" si="12"/>
        <v>#REF!</v>
      </c>
      <c r="BF15" s="701" t="e">
        <f t="shared" ca="1" si="18"/>
        <v>#REF!</v>
      </c>
      <c r="BG15" s="702"/>
      <c r="BH15" s="12" t="e">
        <f t="shared" ca="1" si="19"/>
        <v>#REF!</v>
      </c>
      <c r="BI15" s="703" t="e">
        <f t="shared" ca="1" si="20"/>
        <v>#REF!</v>
      </c>
      <c r="BJ15" s="704"/>
      <c r="BK15" s="705" t="e">
        <f ca="1">IF(BR15&gt;0,CHOOSE(MATCH(RegimeExecucao,{"Unitário","Global"},0),IF($A15="S",BR15/BN15,""),(BR15/BN15)*100),"")</f>
        <v>#REF!</v>
      </c>
      <c r="BL15" s="706"/>
      <c r="BM15" s="707"/>
      <c r="BN15" s="708" t="e">
        <f ca="1">IF(BR15&gt;0,CHOOSE(MATCH(RegimeExecucao,{"Unitário","Global"},0),IF($A15="S",ROUND(P15,arredunit),""),ROUND(R15,arredtot)),"")</f>
        <v>#REF!</v>
      </c>
      <c r="BO15" s="709"/>
      <c r="BP15" s="709"/>
      <c r="BQ15" s="710"/>
      <c r="BR15" s="708" t="e">
        <f t="shared" ca="1" si="1"/>
        <v>#REF!</v>
      </c>
      <c r="BS15" s="709"/>
      <c r="BT15" s="709"/>
      <c r="BU15" s="710"/>
      <c r="BV15" s="711"/>
      <c r="BW15" s="711"/>
      <c r="BX15" s="711"/>
      <c r="BY15" s="711"/>
      <c r="BZ15" s="711"/>
      <c r="CA15" s="712"/>
      <c r="CB15" s="16"/>
      <c r="CC15" s="16"/>
    </row>
    <row r="16" spans="1:81" ht="26.4">
      <c r="A16" s="59" t="str">
        <f t="shared" si="13"/>
        <v>S</v>
      </c>
      <c r="B16" s="59">
        <f t="shared" si="14"/>
        <v>0</v>
      </c>
      <c r="C16" s="59">
        <f t="shared" ca="1" si="2"/>
        <v>2</v>
      </c>
      <c r="D16" s="59">
        <f t="shared" ca="1" si="3"/>
        <v>0</v>
      </c>
      <c r="E16" s="59">
        <f t="shared" ca="1" si="4"/>
        <v>0</v>
      </c>
      <c r="F16" s="59">
        <f t="shared" ca="1" si="5"/>
        <v>0</v>
      </c>
      <c r="G16" s="59">
        <f t="shared" ca="1" si="6"/>
        <v>1</v>
      </c>
      <c r="H16" s="59">
        <f t="shared" ca="1" si="7"/>
        <v>0</v>
      </c>
      <c r="I16" s="59">
        <f t="shared" ca="1" si="8"/>
        <v>0</v>
      </c>
      <c r="J16" s="59">
        <f t="shared" si="9"/>
        <v>1</v>
      </c>
      <c r="K16" s="127" t="s">
        <v>4</v>
      </c>
      <c r="L16" s="165" t="s">
        <v>47</v>
      </c>
      <c r="M16" s="129" t="s">
        <v>48</v>
      </c>
      <c r="N16" s="130" t="s">
        <v>49</v>
      </c>
      <c r="O16" s="131">
        <v>21.998700334199775</v>
      </c>
      <c r="P16" s="132">
        <v>53.86</v>
      </c>
      <c r="Q16" s="133">
        <f t="shared" si="15"/>
        <v>0</v>
      </c>
      <c r="R16" s="1">
        <f t="shared" si="21"/>
        <v>1184.8499999999999</v>
      </c>
      <c r="S16" s="2">
        <v>22</v>
      </c>
      <c r="T16" s="3"/>
      <c r="U16" s="4">
        <f t="shared" si="22"/>
        <v>22</v>
      </c>
      <c r="V16" s="5">
        <f t="shared" ref="V16:V78" si="25">IF(O16-Z16&gt;0.01,Z16*P16,R16)</f>
        <v>1184.8499999999999</v>
      </c>
      <c r="W16" s="6">
        <f t="shared" ref="W16:W78" si="26">IF(O16-AA16&gt;0.01,AA16*P16,R16)</f>
        <v>0</v>
      </c>
      <c r="X16" s="7">
        <f t="shared" si="23"/>
        <v>1184.8499999999999</v>
      </c>
      <c r="Y16" s="134"/>
      <c r="Z16" s="135">
        <v>22</v>
      </c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7"/>
      <c r="AL16" s="135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7"/>
      <c r="AX16" s="16"/>
      <c r="AY16" s="138">
        <v>0</v>
      </c>
      <c r="AZ16" s="8">
        <f t="shared" si="16"/>
        <v>0</v>
      </c>
      <c r="BA16" s="139">
        <v>0</v>
      </c>
      <c r="BB16" s="9" t="e">
        <f t="shared" si="11"/>
        <v>#REF!</v>
      </c>
      <c r="BC16" s="10" t="e">
        <f t="shared" si="17"/>
        <v>#REF!</v>
      </c>
      <c r="BD16" s="11" t="e">
        <f t="shared" si="12"/>
        <v>#REF!</v>
      </c>
      <c r="BF16" s="701" t="e">
        <f t="shared" si="18"/>
        <v>#REF!</v>
      </c>
      <c r="BG16" s="702"/>
      <c r="BH16" s="12" t="e">
        <f t="shared" si="19"/>
        <v>#REF!</v>
      </c>
      <c r="BI16" s="703" t="e">
        <f t="shared" si="20"/>
        <v>#REF!</v>
      </c>
      <c r="BJ16" s="704"/>
      <c r="BK16" s="705" t="e">
        <f>IF(BR16&gt;0,CHOOSE(MATCH(RegimeExecucao,{"Unitário","Global"},0),IF($A16="S",BR16/BN16,""),(BR16/BN16)*100),"")</f>
        <v>#REF!</v>
      </c>
      <c r="BL16" s="706"/>
      <c r="BM16" s="707"/>
      <c r="BN16" s="708" t="e">
        <f>IF(BR16&gt;0,CHOOSE(MATCH(RegimeExecucao,{"Unitário","Global"},0),IF($A16="S",ROUND(P16,arredunit),""),ROUND(R16,arredtot)),"")</f>
        <v>#REF!</v>
      </c>
      <c r="BO16" s="709"/>
      <c r="BP16" s="709"/>
      <c r="BQ16" s="710"/>
      <c r="BR16" s="708" t="e">
        <f t="shared" si="1"/>
        <v>#REF!</v>
      </c>
      <c r="BS16" s="709"/>
      <c r="BT16" s="709"/>
      <c r="BU16" s="710"/>
      <c r="BV16" s="711"/>
      <c r="BW16" s="711"/>
      <c r="BX16" s="711"/>
      <c r="BY16" s="711"/>
      <c r="BZ16" s="711"/>
      <c r="CA16" s="712"/>
      <c r="CB16" s="16"/>
      <c r="CC16" s="16"/>
    </row>
    <row r="17" spans="1:81" ht="26.4">
      <c r="A17" s="59" t="str">
        <f t="shared" si="13"/>
        <v>S</v>
      </c>
      <c r="B17" s="59">
        <f t="shared" si="14"/>
        <v>0</v>
      </c>
      <c r="C17" s="59">
        <f t="shared" ca="1" si="2"/>
        <v>2</v>
      </c>
      <c r="D17" s="59">
        <f t="shared" ca="1" si="3"/>
        <v>0</v>
      </c>
      <c r="E17" s="59">
        <f t="shared" ca="1" si="4"/>
        <v>0</v>
      </c>
      <c r="F17" s="59">
        <f t="shared" ca="1" si="5"/>
        <v>0</v>
      </c>
      <c r="G17" s="59">
        <f t="shared" ca="1" si="6"/>
        <v>2</v>
      </c>
      <c r="H17" s="59">
        <f t="shared" ca="1" si="7"/>
        <v>0</v>
      </c>
      <c r="I17" s="59">
        <f t="shared" ca="1" si="8"/>
        <v>0</v>
      </c>
      <c r="J17" s="59">
        <f t="shared" si="9"/>
        <v>1</v>
      </c>
      <c r="K17" s="127" t="s">
        <v>4</v>
      </c>
      <c r="L17" s="165" t="s">
        <v>50</v>
      </c>
      <c r="M17" s="129" t="s">
        <v>51</v>
      </c>
      <c r="N17" s="130" t="s">
        <v>43</v>
      </c>
      <c r="O17" s="131">
        <v>386.9</v>
      </c>
      <c r="P17" s="132">
        <v>21.040501421555959</v>
      </c>
      <c r="Q17" s="133">
        <f t="shared" si="15"/>
        <v>0</v>
      </c>
      <c r="R17" s="1">
        <f t="shared" si="21"/>
        <v>8140.57</v>
      </c>
      <c r="S17" s="2">
        <f t="shared" ca="1" si="10"/>
        <v>0</v>
      </c>
      <c r="T17" s="3">
        <f t="shared" si="24"/>
        <v>0</v>
      </c>
      <c r="U17" s="4">
        <f t="shared" ca="1" si="22"/>
        <v>0</v>
      </c>
      <c r="V17" s="5">
        <f t="shared" si="25"/>
        <v>0</v>
      </c>
      <c r="W17" s="6">
        <f t="shared" si="26"/>
        <v>0</v>
      </c>
      <c r="X17" s="7">
        <f t="shared" si="23"/>
        <v>0</v>
      </c>
      <c r="Y17" s="134"/>
      <c r="Z17" s="135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7"/>
      <c r="AL17" s="135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7"/>
      <c r="AX17" s="16"/>
      <c r="AY17" s="138">
        <v>0</v>
      </c>
      <c r="AZ17" s="8">
        <f t="shared" si="16"/>
        <v>0</v>
      </c>
      <c r="BA17" s="139">
        <v>0</v>
      </c>
      <c r="BB17" s="9" t="e">
        <f t="shared" si="11"/>
        <v>#REF!</v>
      </c>
      <c r="BC17" s="10" t="e">
        <f t="shared" si="17"/>
        <v>#REF!</v>
      </c>
      <c r="BD17" s="11" t="e">
        <f t="shared" si="12"/>
        <v>#REF!</v>
      </c>
      <c r="BF17" s="701" t="e">
        <f t="shared" si="18"/>
        <v>#REF!</v>
      </c>
      <c r="BG17" s="702"/>
      <c r="BH17" s="12" t="e">
        <f t="shared" si="19"/>
        <v>#REF!</v>
      </c>
      <c r="BI17" s="703" t="e">
        <f t="shared" si="20"/>
        <v>#REF!</v>
      </c>
      <c r="BJ17" s="704"/>
      <c r="BK17" s="705" t="e">
        <f>IF(BR17&gt;0,CHOOSE(MATCH(RegimeExecucao,{"Unitário","Global"},0),IF($A17="S",BR17/BN17,""),(BR17/BN17)*100),"")</f>
        <v>#REF!</v>
      </c>
      <c r="BL17" s="706"/>
      <c r="BM17" s="707"/>
      <c r="BN17" s="708" t="e">
        <f>IF(BR17&gt;0,CHOOSE(MATCH(RegimeExecucao,{"Unitário","Global"},0),IF($A17="S",ROUND(P17,arredunit),""),ROUND(R17,arredtot)),"")</f>
        <v>#REF!</v>
      </c>
      <c r="BO17" s="709"/>
      <c r="BP17" s="709"/>
      <c r="BQ17" s="710"/>
      <c r="BR17" s="708" t="e">
        <f t="shared" si="1"/>
        <v>#REF!</v>
      </c>
      <c r="BS17" s="709"/>
      <c r="BT17" s="709"/>
      <c r="BU17" s="710"/>
      <c r="BV17" s="711"/>
      <c r="BW17" s="711"/>
      <c r="BX17" s="711"/>
      <c r="BY17" s="711"/>
      <c r="BZ17" s="711"/>
      <c r="CA17" s="712"/>
      <c r="CB17" s="16"/>
      <c r="CC17" s="16"/>
    </row>
    <row r="18" spans="1:81">
      <c r="A18" s="59">
        <f t="shared" si="13"/>
        <v>1</v>
      </c>
      <c r="B18" s="59">
        <f t="shared" ca="1" si="14"/>
        <v>13</v>
      </c>
      <c r="C18" s="59">
        <f t="shared" ca="1" si="2"/>
        <v>3</v>
      </c>
      <c r="D18" s="59">
        <f t="shared" ca="1" si="3"/>
        <v>0</v>
      </c>
      <c r="E18" s="59">
        <f t="shared" ca="1" si="4"/>
        <v>0</v>
      </c>
      <c r="F18" s="59">
        <f t="shared" ca="1" si="5"/>
        <v>0</v>
      </c>
      <c r="G18" s="59">
        <f t="shared" ca="1" si="6"/>
        <v>0</v>
      </c>
      <c r="H18" s="59">
        <f t="shared" ca="1" si="7"/>
        <v>71</v>
      </c>
      <c r="I18" s="59">
        <f t="shared" ca="1" si="8"/>
        <v>13</v>
      </c>
      <c r="J18" s="59">
        <f t="shared" si="9"/>
        <v>0</v>
      </c>
      <c r="K18" s="127" t="str">
        <f>CHOOSE(1+LOG(1+2*($J18=3)+4*($J18=2)+8*($J18=1)+16*(AND($L18&lt;&gt;"",$L18&lt;&gt;0,$J18=0))+32*OR($N18&lt;&gt;"",RegimeExecucao="Global",AND($L18="",$M18="",$N18="")),2),"","Nível 4","Nível 3","Nível 2","Meta","Serviço")</f>
        <v>Meta</v>
      </c>
      <c r="L18" s="128">
        <v>3</v>
      </c>
      <c r="M18" s="129" t="s">
        <v>52</v>
      </c>
      <c r="N18" s="130"/>
      <c r="O18" s="131"/>
      <c r="P18" s="132"/>
      <c r="Q18" s="133">
        <f t="shared" si="15"/>
        <v>5749.829999999999</v>
      </c>
      <c r="R18" s="1">
        <f>SUM(R19,R28)</f>
        <v>5749.829999999999</v>
      </c>
      <c r="S18" s="2">
        <f t="shared" ca="1" si="10"/>
        <v>0</v>
      </c>
      <c r="T18" s="3">
        <f t="shared" si="24"/>
        <v>0</v>
      </c>
      <c r="U18" s="4">
        <f t="shared" ca="1" si="22"/>
        <v>0</v>
      </c>
      <c r="V18" s="1">
        <f>SUM(V19,V28)</f>
        <v>5749.829999999999</v>
      </c>
      <c r="W18" s="1">
        <f>SUM(W19,W28)</f>
        <v>0</v>
      </c>
      <c r="X18" s="7">
        <f t="shared" si="23"/>
        <v>5749.829999999999</v>
      </c>
      <c r="Y18" s="134"/>
      <c r="Z18" s="135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7"/>
      <c r="AL18" s="135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7"/>
      <c r="AX18" s="16"/>
      <c r="AY18" s="138">
        <v>0</v>
      </c>
      <c r="AZ18" s="8">
        <f t="shared" si="16"/>
        <v>0</v>
      </c>
      <c r="BA18" s="139">
        <v>0</v>
      </c>
      <c r="BB18" s="9" t="e">
        <f t="shared" ca="1" si="11"/>
        <v>#REF!</v>
      </c>
      <c r="BC18" s="10" t="e">
        <f t="shared" ca="1" si="17"/>
        <v>#REF!</v>
      </c>
      <c r="BD18" s="11" t="e">
        <f t="shared" ca="1" si="12"/>
        <v>#REF!</v>
      </c>
      <c r="BF18" s="701" t="e">
        <f t="shared" ca="1" si="18"/>
        <v>#REF!</v>
      </c>
      <c r="BG18" s="702"/>
      <c r="BH18" s="12" t="e">
        <f t="shared" ca="1" si="19"/>
        <v>#REF!</v>
      </c>
      <c r="BI18" s="703" t="e">
        <f t="shared" ca="1" si="20"/>
        <v>#REF!</v>
      </c>
      <c r="BJ18" s="704"/>
      <c r="BK18" s="705" t="e">
        <f ca="1">IF(BR18&gt;0,CHOOSE(MATCH(RegimeExecucao,{"Unitário","Global"},0),IF($A18="S",BR18/BN18,""),(BR18/BN18)*100),"")</f>
        <v>#REF!</v>
      </c>
      <c r="BL18" s="706"/>
      <c r="BM18" s="707"/>
      <c r="BN18" s="708" t="e">
        <f ca="1">IF(BR18&gt;0,CHOOSE(MATCH(RegimeExecucao,{"Unitário","Global"},0),IF($A18="S",ROUND(P18,arredunit),""),ROUND(R18,arredtot)),"")</f>
        <v>#REF!</v>
      </c>
      <c r="BO18" s="709"/>
      <c r="BP18" s="709"/>
      <c r="BQ18" s="710"/>
      <c r="BR18" s="708" t="e">
        <f t="shared" ca="1" si="1"/>
        <v>#REF!</v>
      </c>
      <c r="BS18" s="709"/>
      <c r="BT18" s="709"/>
      <c r="BU18" s="710"/>
      <c r="BV18" s="711"/>
      <c r="BW18" s="711"/>
      <c r="BX18" s="711"/>
      <c r="BY18" s="711"/>
      <c r="BZ18" s="711"/>
      <c r="CA18" s="712"/>
      <c r="CB18" s="16"/>
      <c r="CC18" s="16"/>
    </row>
    <row r="19" spans="1:81">
      <c r="A19" s="59">
        <f t="shared" si="13"/>
        <v>2</v>
      </c>
      <c r="B19" s="59">
        <f t="shared" ca="1" si="14"/>
        <v>9</v>
      </c>
      <c r="C19" s="59">
        <f t="shared" ca="1" si="2"/>
        <v>3</v>
      </c>
      <c r="D19" s="59">
        <f t="shared" ca="1" si="3"/>
        <v>1</v>
      </c>
      <c r="E19" s="59">
        <f t="shared" ca="1" si="4"/>
        <v>0</v>
      </c>
      <c r="F19" s="59">
        <f t="shared" ca="1" si="5"/>
        <v>0</v>
      </c>
      <c r="G19" s="59">
        <f t="shared" ca="1" si="6"/>
        <v>0</v>
      </c>
      <c r="H19" s="59">
        <f t="shared" ca="1" si="7"/>
        <v>12</v>
      </c>
      <c r="I19" s="59">
        <f t="shared" ca="1" si="8"/>
        <v>9</v>
      </c>
      <c r="J19" s="59">
        <f t="shared" si="9"/>
        <v>1</v>
      </c>
      <c r="K19" s="127" t="str">
        <f>CHOOSE(1+LOG(1+2*($J19=3)+4*($J19=2)+8*($J19=1)+16*(AND($L19&lt;&gt;"",$L19&lt;&gt;0,$J19=0))+32*OR($N19&lt;&gt;"",RegimeExecucao="Global",AND($L19="",$M19="",$N19="")),2),"","Nível 4","Nível 3","Nível 2","Meta","Serviço")</f>
        <v>Nível 2</v>
      </c>
      <c r="L19" s="165" t="s">
        <v>53</v>
      </c>
      <c r="M19" s="129" t="s">
        <v>54</v>
      </c>
      <c r="N19" s="130"/>
      <c r="O19" s="131"/>
      <c r="P19" s="132"/>
      <c r="Q19" s="133">
        <f t="shared" si="15"/>
        <v>4804.7679999999991</v>
      </c>
      <c r="R19" s="1">
        <f>SUM(R20:R27)</f>
        <v>4804.7679999999991</v>
      </c>
      <c r="S19" s="2">
        <f t="shared" ca="1" si="10"/>
        <v>0</v>
      </c>
      <c r="T19" s="3">
        <f t="shared" si="24"/>
        <v>0</v>
      </c>
      <c r="U19" s="4">
        <f t="shared" ca="1" si="22"/>
        <v>0</v>
      </c>
      <c r="V19" s="1">
        <f>SUM(V20:V27)</f>
        <v>4804.7679999999991</v>
      </c>
      <c r="W19" s="1">
        <f>SUM(W20:W27)</f>
        <v>0</v>
      </c>
      <c r="X19" s="7">
        <f t="shared" si="23"/>
        <v>4804.7679999999991</v>
      </c>
      <c r="Y19" s="134"/>
      <c r="Z19" s="135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7"/>
      <c r="AL19" s="135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7"/>
      <c r="AX19" s="16"/>
      <c r="AY19" s="138">
        <v>0</v>
      </c>
      <c r="AZ19" s="8">
        <f t="shared" si="16"/>
        <v>0</v>
      </c>
      <c r="BA19" s="139">
        <v>0</v>
      </c>
      <c r="BB19" s="9" t="e">
        <f t="shared" ca="1" si="11"/>
        <v>#REF!</v>
      </c>
      <c r="BC19" s="10" t="e">
        <f t="shared" ca="1" si="17"/>
        <v>#REF!</v>
      </c>
      <c r="BD19" s="11" t="e">
        <f t="shared" ca="1" si="12"/>
        <v>#REF!</v>
      </c>
      <c r="BF19" s="701" t="e">
        <f t="shared" ca="1" si="18"/>
        <v>#REF!</v>
      </c>
      <c r="BG19" s="702"/>
      <c r="BH19" s="12" t="e">
        <f t="shared" ca="1" si="19"/>
        <v>#REF!</v>
      </c>
      <c r="BI19" s="703" t="e">
        <f t="shared" ca="1" si="20"/>
        <v>#REF!</v>
      </c>
      <c r="BJ19" s="704"/>
      <c r="BK19" s="705" t="e">
        <f ca="1">IF(BR19&gt;0,CHOOSE(MATCH(RegimeExecucao,{"Unitário","Global"},0),IF($A19="S",BR19/BN19,""),(BR19/BN19)*100),"")</f>
        <v>#REF!</v>
      </c>
      <c r="BL19" s="706"/>
      <c r="BM19" s="707"/>
      <c r="BN19" s="708" t="e">
        <f ca="1">IF(BR19&gt;0,CHOOSE(MATCH(RegimeExecucao,{"Unitário","Global"},0),IF($A19="S",ROUND(P19,arredunit),""),ROUND(R19,arredtot)),"")</f>
        <v>#REF!</v>
      </c>
      <c r="BO19" s="709"/>
      <c r="BP19" s="709"/>
      <c r="BQ19" s="710"/>
      <c r="BR19" s="708" t="e">
        <f t="shared" ca="1" si="1"/>
        <v>#REF!</v>
      </c>
      <c r="BS19" s="709"/>
      <c r="BT19" s="709"/>
      <c r="BU19" s="710"/>
      <c r="BV19" s="711"/>
      <c r="BW19" s="711"/>
      <c r="BX19" s="711"/>
      <c r="BY19" s="711"/>
      <c r="BZ19" s="711"/>
      <c r="CA19" s="712"/>
      <c r="CB19" s="16"/>
      <c r="CC19" s="16"/>
    </row>
    <row r="20" spans="1:81" ht="26.4">
      <c r="A20" s="59" t="str">
        <f t="shared" si="13"/>
        <v>S</v>
      </c>
      <c r="B20" s="59">
        <f t="shared" si="14"/>
        <v>0</v>
      </c>
      <c r="C20" s="59">
        <f t="shared" ca="1" si="2"/>
        <v>3</v>
      </c>
      <c r="D20" s="59">
        <f t="shared" ca="1" si="3"/>
        <v>1</v>
      </c>
      <c r="E20" s="59">
        <f t="shared" ca="1" si="4"/>
        <v>0</v>
      </c>
      <c r="F20" s="59">
        <f t="shared" ca="1" si="5"/>
        <v>0</v>
      </c>
      <c r="G20" s="59">
        <f t="shared" ca="1" si="6"/>
        <v>1</v>
      </c>
      <c r="H20" s="59">
        <f t="shared" ca="1" si="7"/>
        <v>0</v>
      </c>
      <c r="I20" s="59">
        <f t="shared" ca="1" si="8"/>
        <v>0</v>
      </c>
      <c r="J20" s="59">
        <f t="shared" si="9"/>
        <v>2</v>
      </c>
      <c r="K20" s="127" t="s">
        <v>4</v>
      </c>
      <c r="L20" s="165" t="s">
        <v>55</v>
      </c>
      <c r="M20" s="129" t="s">
        <v>56</v>
      </c>
      <c r="N20" s="130" t="s">
        <v>49</v>
      </c>
      <c r="O20" s="131">
        <v>3.3</v>
      </c>
      <c r="P20" s="132">
        <v>82.16</v>
      </c>
      <c r="Q20" s="133">
        <f t="shared" si="15"/>
        <v>0</v>
      </c>
      <c r="R20" s="1">
        <f t="shared" si="21"/>
        <v>271.12799999999999</v>
      </c>
      <c r="S20" s="2">
        <v>3.3</v>
      </c>
      <c r="T20" s="3"/>
      <c r="U20" s="4">
        <f t="shared" si="22"/>
        <v>3.3</v>
      </c>
      <c r="V20" s="5">
        <f t="shared" si="25"/>
        <v>271.12799999999999</v>
      </c>
      <c r="W20" s="6">
        <f t="shared" si="26"/>
        <v>0</v>
      </c>
      <c r="X20" s="7">
        <f t="shared" si="23"/>
        <v>271.12799999999999</v>
      </c>
      <c r="Y20" s="134"/>
      <c r="Z20" s="135">
        <v>3.3</v>
      </c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7"/>
      <c r="AL20" s="135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7"/>
      <c r="AX20" s="16"/>
      <c r="AY20" s="138">
        <v>0</v>
      </c>
      <c r="AZ20" s="8">
        <f t="shared" si="16"/>
        <v>0</v>
      </c>
      <c r="BA20" s="139">
        <v>0</v>
      </c>
      <c r="BB20" s="9" t="e">
        <f t="shared" si="11"/>
        <v>#REF!</v>
      </c>
      <c r="BC20" s="10" t="e">
        <f t="shared" si="17"/>
        <v>#REF!</v>
      </c>
      <c r="BD20" s="11" t="e">
        <f t="shared" si="12"/>
        <v>#REF!</v>
      </c>
      <c r="BF20" s="701" t="e">
        <f t="shared" si="18"/>
        <v>#REF!</v>
      </c>
      <c r="BG20" s="702"/>
      <c r="BH20" s="12" t="e">
        <f t="shared" si="19"/>
        <v>#REF!</v>
      </c>
      <c r="BI20" s="703" t="e">
        <f t="shared" si="20"/>
        <v>#REF!</v>
      </c>
      <c r="BJ20" s="704"/>
      <c r="BK20" s="705" t="e">
        <f>IF(BR20&gt;0,CHOOSE(MATCH(RegimeExecucao,{"Unitário","Global"},0),IF($A20="S",BR20/BN20,""),(BR20/BN20)*100),"")</f>
        <v>#REF!</v>
      </c>
      <c r="BL20" s="706"/>
      <c r="BM20" s="707"/>
      <c r="BN20" s="708" t="e">
        <f>IF(BR20&gt;0,CHOOSE(MATCH(RegimeExecucao,{"Unitário","Global"},0),IF($A20="S",ROUND(P20,arredunit),""),ROUND(R20,arredtot)),"")</f>
        <v>#REF!</v>
      </c>
      <c r="BO20" s="709"/>
      <c r="BP20" s="709"/>
      <c r="BQ20" s="710"/>
      <c r="BR20" s="708" t="e">
        <f t="shared" si="1"/>
        <v>#REF!</v>
      </c>
      <c r="BS20" s="709"/>
      <c r="BT20" s="709"/>
      <c r="BU20" s="710"/>
      <c r="BV20" s="711"/>
      <c r="BW20" s="711"/>
      <c r="BX20" s="711"/>
      <c r="BY20" s="711"/>
      <c r="BZ20" s="711"/>
      <c r="CA20" s="712"/>
      <c r="CB20" s="16"/>
      <c r="CC20" s="16"/>
    </row>
    <row r="21" spans="1:81" ht="39.6">
      <c r="A21" s="59" t="str">
        <f t="shared" si="13"/>
        <v>S</v>
      </c>
      <c r="B21" s="59">
        <f t="shared" si="14"/>
        <v>0</v>
      </c>
      <c r="C21" s="59">
        <f t="shared" ca="1" si="2"/>
        <v>3</v>
      </c>
      <c r="D21" s="59">
        <f t="shared" ca="1" si="3"/>
        <v>1</v>
      </c>
      <c r="E21" s="59">
        <f t="shared" ca="1" si="4"/>
        <v>0</v>
      </c>
      <c r="F21" s="59">
        <f t="shared" ca="1" si="5"/>
        <v>0</v>
      </c>
      <c r="G21" s="59">
        <f t="shared" ca="1" si="6"/>
        <v>2</v>
      </c>
      <c r="H21" s="59">
        <f t="shared" ca="1" si="7"/>
        <v>0</v>
      </c>
      <c r="I21" s="59">
        <f t="shared" ca="1" si="8"/>
        <v>0</v>
      </c>
      <c r="J21" s="59">
        <f t="shared" si="9"/>
        <v>2</v>
      </c>
      <c r="K21" s="127" t="s">
        <v>4</v>
      </c>
      <c r="L21" s="165" t="s">
        <v>57</v>
      </c>
      <c r="M21" s="166" t="s">
        <v>58</v>
      </c>
      <c r="N21" s="130" t="s">
        <v>59</v>
      </c>
      <c r="O21" s="131">
        <v>28.000366837857662</v>
      </c>
      <c r="P21" s="132">
        <v>54.52</v>
      </c>
      <c r="Q21" s="133">
        <f t="shared" si="15"/>
        <v>0</v>
      </c>
      <c r="R21" s="1">
        <f t="shared" si="21"/>
        <v>1526.58</v>
      </c>
      <c r="S21" s="2">
        <v>28</v>
      </c>
      <c r="T21" s="3"/>
      <c r="U21" s="4">
        <f t="shared" si="22"/>
        <v>28</v>
      </c>
      <c r="V21" s="5">
        <f t="shared" si="25"/>
        <v>1526.58</v>
      </c>
      <c r="W21" s="6">
        <f t="shared" si="26"/>
        <v>0</v>
      </c>
      <c r="X21" s="7">
        <f t="shared" si="23"/>
        <v>1526.58</v>
      </c>
      <c r="Y21" s="134"/>
      <c r="Z21" s="135">
        <v>28</v>
      </c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7"/>
      <c r="AL21" s="135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7"/>
      <c r="AX21" s="16"/>
      <c r="AY21" s="138">
        <v>0</v>
      </c>
      <c r="AZ21" s="8">
        <f t="shared" si="16"/>
        <v>0</v>
      </c>
      <c r="BA21" s="139">
        <v>0</v>
      </c>
      <c r="BB21" s="9" t="e">
        <f t="shared" si="11"/>
        <v>#REF!</v>
      </c>
      <c r="BC21" s="10" t="e">
        <f t="shared" si="17"/>
        <v>#REF!</v>
      </c>
      <c r="BD21" s="11" t="e">
        <f t="shared" si="12"/>
        <v>#REF!</v>
      </c>
      <c r="BF21" s="701" t="e">
        <f t="shared" si="18"/>
        <v>#REF!</v>
      </c>
      <c r="BG21" s="702"/>
      <c r="BH21" s="12" t="e">
        <f t="shared" si="19"/>
        <v>#REF!</v>
      </c>
      <c r="BI21" s="703" t="e">
        <f t="shared" si="20"/>
        <v>#REF!</v>
      </c>
      <c r="BJ21" s="704"/>
      <c r="BK21" s="705" t="e">
        <f>IF(BR21&gt;0,CHOOSE(MATCH(RegimeExecucao,{"Unitário","Global"},0),IF($A21="S",BR21/BN21,""),(BR21/BN21)*100),"")</f>
        <v>#REF!</v>
      </c>
      <c r="BL21" s="706"/>
      <c r="BM21" s="707"/>
      <c r="BN21" s="708" t="e">
        <f>IF(BR21&gt;0,CHOOSE(MATCH(RegimeExecucao,{"Unitário","Global"},0),IF($A21="S",ROUND(P21,arredunit),""),ROUND(R21,arredtot)),"")</f>
        <v>#REF!</v>
      </c>
      <c r="BO21" s="709"/>
      <c r="BP21" s="709"/>
      <c r="BQ21" s="710"/>
      <c r="BR21" s="708" t="e">
        <f t="shared" si="1"/>
        <v>#REF!</v>
      </c>
      <c r="BS21" s="709"/>
      <c r="BT21" s="709"/>
      <c r="BU21" s="710"/>
      <c r="BV21" s="711"/>
      <c r="BW21" s="711"/>
      <c r="BX21" s="711"/>
      <c r="BY21" s="711"/>
      <c r="BZ21" s="711"/>
      <c r="CA21" s="712"/>
      <c r="CB21" s="16"/>
      <c r="CC21" s="16"/>
    </row>
    <row r="22" spans="1:81" ht="26.4">
      <c r="A22" s="59" t="str">
        <f t="shared" si="13"/>
        <v>S</v>
      </c>
      <c r="B22" s="59">
        <f t="shared" si="14"/>
        <v>0</v>
      </c>
      <c r="C22" s="59">
        <f t="shared" ca="1" si="2"/>
        <v>3</v>
      </c>
      <c r="D22" s="59">
        <f t="shared" ca="1" si="3"/>
        <v>1</v>
      </c>
      <c r="E22" s="59">
        <f t="shared" ca="1" si="4"/>
        <v>0</v>
      </c>
      <c r="F22" s="59">
        <f t="shared" ca="1" si="5"/>
        <v>0</v>
      </c>
      <c r="G22" s="59">
        <f t="shared" ca="1" si="6"/>
        <v>3</v>
      </c>
      <c r="H22" s="59">
        <f t="shared" ca="1" si="7"/>
        <v>0</v>
      </c>
      <c r="I22" s="59">
        <f t="shared" ca="1" si="8"/>
        <v>0</v>
      </c>
      <c r="J22" s="59">
        <f t="shared" si="9"/>
        <v>2</v>
      </c>
      <c r="K22" s="127" t="s">
        <v>4</v>
      </c>
      <c r="L22" s="165" t="s">
        <v>60</v>
      </c>
      <c r="M22" s="129" t="s">
        <v>61</v>
      </c>
      <c r="N22" s="130" t="s">
        <v>49</v>
      </c>
      <c r="O22" s="131">
        <v>0.4</v>
      </c>
      <c r="P22" s="132">
        <v>166.35</v>
      </c>
      <c r="Q22" s="133">
        <f t="shared" si="15"/>
        <v>0</v>
      </c>
      <c r="R22" s="1">
        <f t="shared" si="21"/>
        <v>66.540000000000006</v>
      </c>
      <c r="S22" s="2">
        <v>0.4</v>
      </c>
      <c r="T22" s="3"/>
      <c r="U22" s="4">
        <f t="shared" si="22"/>
        <v>0.4</v>
      </c>
      <c r="V22" s="5">
        <f t="shared" si="25"/>
        <v>66.540000000000006</v>
      </c>
      <c r="W22" s="6">
        <f t="shared" si="26"/>
        <v>0</v>
      </c>
      <c r="X22" s="7">
        <f t="shared" si="23"/>
        <v>66.540000000000006</v>
      </c>
      <c r="Y22" s="134"/>
      <c r="Z22" s="135">
        <v>0.4</v>
      </c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7"/>
      <c r="AL22" s="135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7"/>
      <c r="AX22" s="16"/>
      <c r="AY22" s="138">
        <v>0</v>
      </c>
      <c r="AZ22" s="8">
        <f t="shared" si="16"/>
        <v>0</v>
      </c>
      <c r="BA22" s="139">
        <v>0</v>
      </c>
      <c r="BB22" s="9" t="e">
        <f t="shared" si="11"/>
        <v>#REF!</v>
      </c>
      <c r="BC22" s="10" t="e">
        <f t="shared" si="17"/>
        <v>#REF!</v>
      </c>
      <c r="BD22" s="11" t="e">
        <f t="shared" si="12"/>
        <v>#REF!</v>
      </c>
      <c r="BF22" s="701" t="e">
        <f t="shared" si="18"/>
        <v>#REF!</v>
      </c>
      <c r="BG22" s="702"/>
      <c r="BH22" s="12" t="e">
        <f t="shared" si="19"/>
        <v>#REF!</v>
      </c>
      <c r="BI22" s="703" t="e">
        <f t="shared" si="20"/>
        <v>#REF!</v>
      </c>
      <c r="BJ22" s="704"/>
      <c r="BK22" s="705" t="e">
        <f>IF(BR22&gt;0,CHOOSE(MATCH(RegimeExecucao,{"Unitário","Global"},0),IF($A22="S",BR22/BN22,""),(BR22/BN22)*100),"")</f>
        <v>#REF!</v>
      </c>
      <c r="BL22" s="706"/>
      <c r="BM22" s="707"/>
      <c r="BN22" s="708" t="e">
        <f>IF(BR22&gt;0,CHOOSE(MATCH(RegimeExecucao,{"Unitário","Global"},0),IF($A22="S",ROUND(P22,arredunit),""),ROUND(R22,arredtot)),"")</f>
        <v>#REF!</v>
      </c>
      <c r="BO22" s="709"/>
      <c r="BP22" s="709"/>
      <c r="BQ22" s="710"/>
      <c r="BR22" s="708" t="e">
        <f t="shared" si="1"/>
        <v>#REF!</v>
      </c>
      <c r="BS22" s="709"/>
      <c r="BT22" s="709"/>
      <c r="BU22" s="710"/>
      <c r="BV22" s="711"/>
      <c r="BW22" s="711"/>
      <c r="BX22" s="711"/>
      <c r="BY22" s="711"/>
      <c r="BZ22" s="711"/>
      <c r="CA22" s="712"/>
      <c r="CB22" s="16"/>
      <c r="CC22" s="16"/>
    </row>
    <row r="23" spans="1:81" ht="39.6">
      <c r="A23" s="59" t="str">
        <f t="shared" si="13"/>
        <v>S</v>
      </c>
      <c r="B23" s="59">
        <f t="shared" si="14"/>
        <v>0</v>
      </c>
      <c r="C23" s="59">
        <f t="shared" ca="1" si="2"/>
        <v>3</v>
      </c>
      <c r="D23" s="59">
        <f t="shared" ca="1" si="3"/>
        <v>1</v>
      </c>
      <c r="E23" s="59">
        <f t="shared" ca="1" si="4"/>
        <v>0</v>
      </c>
      <c r="F23" s="59">
        <f t="shared" ca="1" si="5"/>
        <v>0</v>
      </c>
      <c r="G23" s="59">
        <f t="shared" ca="1" si="6"/>
        <v>4</v>
      </c>
      <c r="H23" s="59">
        <f t="shared" ca="1" si="7"/>
        <v>0</v>
      </c>
      <c r="I23" s="59">
        <f t="shared" ca="1" si="8"/>
        <v>0</v>
      </c>
      <c r="J23" s="59">
        <f t="shared" si="9"/>
        <v>2</v>
      </c>
      <c r="K23" s="127" t="s">
        <v>4</v>
      </c>
      <c r="L23" s="165" t="s">
        <v>62</v>
      </c>
      <c r="M23" s="129" t="s">
        <v>63</v>
      </c>
      <c r="N23" s="130" t="s">
        <v>43</v>
      </c>
      <c r="O23" s="131">
        <v>15.000404312668463</v>
      </c>
      <c r="P23" s="132">
        <v>74.2</v>
      </c>
      <c r="Q23" s="133">
        <f t="shared" si="15"/>
        <v>0</v>
      </c>
      <c r="R23" s="1">
        <f t="shared" si="21"/>
        <v>1113.03</v>
      </c>
      <c r="S23" s="2">
        <v>15</v>
      </c>
      <c r="T23" s="3"/>
      <c r="U23" s="4">
        <f t="shared" si="22"/>
        <v>15</v>
      </c>
      <c r="V23" s="5">
        <f t="shared" si="25"/>
        <v>1113.03</v>
      </c>
      <c r="W23" s="6">
        <f t="shared" si="26"/>
        <v>0</v>
      </c>
      <c r="X23" s="7">
        <f t="shared" si="23"/>
        <v>1113.03</v>
      </c>
      <c r="Y23" s="134"/>
      <c r="Z23" s="135">
        <v>15</v>
      </c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7"/>
      <c r="AL23" s="135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7"/>
      <c r="AX23" s="16"/>
      <c r="AY23" s="138">
        <v>0</v>
      </c>
      <c r="AZ23" s="8">
        <f t="shared" si="16"/>
        <v>0</v>
      </c>
      <c r="BA23" s="139">
        <v>0</v>
      </c>
      <c r="BB23" s="9" t="e">
        <f t="shared" si="11"/>
        <v>#REF!</v>
      </c>
      <c r="BC23" s="10" t="e">
        <f t="shared" si="17"/>
        <v>#REF!</v>
      </c>
      <c r="BD23" s="11" t="e">
        <f t="shared" si="12"/>
        <v>#REF!</v>
      </c>
      <c r="BF23" s="701" t="e">
        <f t="shared" si="18"/>
        <v>#REF!</v>
      </c>
      <c r="BG23" s="702"/>
      <c r="BH23" s="12" t="e">
        <f t="shared" si="19"/>
        <v>#REF!</v>
      </c>
      <c r="BI23" s="703" t="e">
        <f t="shared" si="20"/>
        <v>#REF!</v>
      </c>
      <c r="BJ23" s="704"/>
      <c r="BK23" s="705" t="e">
        <f>IF(BR23&gt;0,CHOOSE(MATCH(RegimeExecucao,{"Unitário","Global"},0),IF($A23="S",BR23/BN23,""),(BR23/BN23)*100),"")</f>
        <v>#REF!</v>
      </c>
      <c r="BL23" s="706"/>
      <c r="BM23" s="707"/>
      <c r="BN23" s="708" t="e">
        <f>IF(BR23&gt;0,CHOOSE(MATCH(RegimeExecucao,{"Unitário","Global"},0),IF($A23="S",ROUND(P23,arredunit),""),ROUND(R23,arredtot)),"")</f>
        <v>#REF!</v>
      </c>
      <c r="BO23" s="709"/>
      <c r="BP23" s="709"/>
      <c r="BQ23" s="710"/>
      <c r="BR23" s="708" t="e">
        <f t="shared" si="1"/>
        <v>#REF!</v>
      </c>
      <c r="BS23" s="709"/>
      <c r="BT23" s="709"/>
      <c r="BU23" s="710"/>
      <c r="BV23" s="711"/>
      <c r="BW23" s="711"/>
      <c r="BX23" s="711"/>
      <c r="BY23" s="711"/>
      <c r="BZ23" s="711"/>
      <c r="CA23" s="712"/>
      <c r="CB23" s="16"/>
      <c r="CC23" s="16"/>
    </row>
    <row r="24" spans="1:81" ht="26.4">
      <c r="A24" s="59" t="str">
        <f t="shared" si="13"/>
        <v>S</v>
      </c>
      <c r="B24" s="59">
        <f t="shared" si="14"/>
        <v>0</v>
      </c>
      <c r="C24" s="59">
        <f t="shared" ca="1" si="2"/>
        <v>3</v>
      </c>
      <c r="D24" s="59">
        <f t="shared" ca="1" si="3"/>
        <v>1</v>
      </c>
      <c r="E24" s="59">
        <f t="shared" ca="1" si="4"/>
        <v>0</v>
      </c>
      <c r="F24" s="59">
        <f t="shared" ca="1" si="5"/>
        <v>0</v>
      </c>
      <c r="G24" s="59">
        <f t="shared" ca="1" si="6"/>
        <v>5</v>
      </c>
      <c r="H24" s="59">
        <f t="shared" ca="1" si="7"/>
        <v>0</v>
      </c>
      <c r="I24" s="59">
        <f t="shared" ca="1" si="8"/>
        <v>0</v>
      </c>
      <c r="J24" s="59">
        <f t="shared" si="9"/>
        <v>2</v>
      </c>
      <c r="K24" s="127" t="s">
        <v>4</v>
      </c>
      <c r="L24" s="165" t="s">
        <v>64</v>
      </c>
      <c r="M24" s="129" t="s">
        <v>65</v>
      </c>
      <c r="N24" s="130" t="s">
        <v>66</v>
      </c>
      <c r="O24" s="131">
        <v>100</v>
      </c>
      <c r="P24" s="132">
        <v>8.5698000000000008</v>
      </c>
      <c r="Q24" s="133">
        <f t="shared" si="15"/>
        <v>0</v>
      </c>
      <c r="R24" s="1">
        <f t="shared" si="21"/>
        <v>856.98</v>
      </c>
      <c r="S24" s="2">
        <v>100</v>
      </c>
      <c r="T24" s="3"/>
      <c r="U24" s="4">
        <f t="shared" si="22"/>
        <v>100</v>
      </c>
      <c r="V24" s="5">
        <f t="shared" si="25"/>
        <v>856.98</v>
      </c>
      <c r="W24" s="6">
        <f t="shared" si="26"/>
        <v>0</v>
      </c>
      <c r="X24" s="7">
        <f t="shared" si="23"/>
        <v>856.98</v>
      </c>
      <c r="Y24" s="134"/>
      <c r="Z24" s="135">
        <v>100</v>
      </c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7"/>
      <c r="AL24" s="135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7"/>
      <c r="AX24" s="16"/>
      <c r="AY24" s="138">
        <v>0</v>
      </c>
      <c r="AZ24" s="8">
        <f t="shared" si="16"/>
        <v>0</v>
      </c>
      <c r="BA24" s="139">
        <v>0</v>
      </c>
      <c r="BB24" s="9" t="e">
        <f t="shared" si="11"/>
        <v>#REF!</v>
      </c>
      <c r="BC24" s="10" t="e">
        <f t="shared" si="17"/>
        <v>#REF!</v>
      </c>
      <c r="BD24" s="11" t="e">
        <f t="shared" si="12"/>
        <v>#REF!</v>
      </c>
      <c r="BF24" s="701" t="e">
        <f t="shared" si="18"/>
        <v>#REF!</v>
      </c>
      <c r="BG24" s="702"/>
      <c r="BH24" s="12" t="e">
        <f t="shared" si="19"/>
        <v>#REF!</v>
      </c>
      <c r="BI24" s="703" t="e">
        <f t="shared" si="20"/>
        <v>#REF!</v>
      </c>
      <c r="BJ24" s="704"/>
      <c r="BK24" s="705" t="e">
        <f>IF(BR24&gt;0,CHOOSE(MATCH(RegimeExecucao,{"Unitário","Global"},0),IF($A24="S",BR24/BN24,""),(BR24/BN24)*100),"")</f>
        <v>#REF!</v>
      </c>
      <c r="BL24" s="706"/>
      <c r="BM24" s="707"/>
      <c r="BN24" s="708" t="e">
        <f>IF(BR24&gt;0,CHOOSE(MATCH(RegimeExecucao,{"Unitário","Global"},0),IF($A24="S",ROUND(P24,arredunit),""),ROUND(R24,arredtot)),"")</f>
        <v>#REF!</v>
      </c>
      <c r="BO24" s="709"/>
      <c r="BP24" s="709"/>
      <c r="BQ24" s="710"/>
      <c r="BR24" s="708" t="e">
        <f t="shared" si="1"/>
        <v>#REF!</v>
      </c>
      <c r="BS24" s="709"/>
      <c r="BT24" s="709"/>
      <c r="BU24" s="710"/>
      <c r="BV24" s="711"/>
      <c r="BW24" s="711"/>
      <c r="BX24" s="711"/>
      <c r="BY24" s="711"/>
      <c r="BZ24" s="711"/>
      <c r="CA24" s="712"/>
      <c r="CB24" s="16"/>
      <c r="CC24" s="16"/>
    </row>
    <row r="25" spans="1:81" ht="26.4">
      <c r="A25" s="59" t="str">
        <f t="shared" si="13"/>
        <v>S</v>
      </c>
      <c r="B25" s="59">
        <f t="shared" si="14"/>
        <v>0</v>
      </c>
      <c r="C25" s="59">
        <f t="shared" ca="1" si="2"/>
        <v>3</v>
      </c>
      <c r="D25" s="59">
        <f t="shared" ca="1" si="3"/>
        <v>1</v>
      </c>
      <c r="E25" s="59">
        <f t="shared" ca="1" si="4"/>
        <v>0</v>
      </c>
      <c r="F25" s="59">
        <f t="shared" ca="1" si="5"/>
        <v>0</v>
      </c>
      <c r="G25" s="59">
        <f t="shared" ca="1" si="6"/>
        <v>6</v>
      </c>
      <c r="H25" s="59">
        <f t="shared" ca="1" si="7"/>
        <v>0</v>
      </c>
      <c r="I25" s="59">
        <f t="shared" ca="1" si="8"/>
        <v>0</v>
      </c>
      <c r="J25" s="59">
        <f t="shared" si="9"/>
        <v>2</v>
      </c>
      <c r="K25" s="127" t="s">
        <v>4</v>
      </c>
      <c r="L25" s="165" t="s">
        <v>67</v>
      </c>
      <c r="M25" s="129" t="s">
        <v>68</v>
      </c>
      <c r="N25" s="130" t="s">
        <v>66</v>
      </c>
      <c r="O25" s="131">
        <v>26</v>
      </c>
      <c r="P25" s="132">
        <v>13.549615384615386</v>
      </c>
      <c r="Q25" s="133">
        <f t="shared" si="15"/>
        <v>0</v>
      </c>
      <c r="R25" s="1">
        <f t="shared" si="21"/>
        <v>352.29</v>
      </c>
      <c r="S25" s="2">
        <v>26</v>
      </c>
      <c r="T25" s="3"/>
      <c r="U25" s="4">
        <f t="shared" si="22"/>
        <v>26</v>
      </c>
      <c r="V25" s="5">
        <f t="shared" si="25"/>
        <v>352.29</v>
      </c>
      <c r="W25" s="6">
        <f t="shared" si="26"/>
        <v>0</v>
      </c>
      <c r="X25" s="7">
        <f t="shared" si="23"/>
        <v>352.29</v>
      </c>
      <c r="Y25" s="134"/>
      <c r="Z25" s="135">
        <v>26</v>
      </c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7"/>
      <c r="AL25" s="135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7"/>
      <c r="AX25" s="16"/>
      <c r="AY25" s="138">
        <v>0</v>
      </c>
      <c r="AZ25" s="8">
        <f t="shared" si="16"/>
        <v>0</v>
      </c>
      <c r="BA25" s="139">
        <v>0</v>
      </c>
      <c r="BB25" s="9" t="e">
        <f t="shared" si="11"/>
        <v>#REF!</v>
      </c>
      <c r="BC25" s="10" t="e">
        <f t="shared" si="17"/>
        <v>#REF!</v>
      </c>
      <c r="BD25" s="11" t="e">
        <f t="shared" si="12"/>
        <v>#REF!</v>
      </c>
      <c r="BF25" s="701" t="e">
        <f t="shared" si="18"/>
        <v>#REF!</v>
      </c>
      <c r="BG25" s="702"/>
      <c r="BH25" s="12" t="e">
        <f t="shared" si="19"/>
        <v>#REF!</v>
      </c>
      <c r="BI25" s="703" t="e">
        <f t="shared" si="20"/>
        <v>#REF!</v>
      </c>
      <c r="BJ25" s="704"/>
      <c r="BK25" s="705" t="e">
        <f>IF(BR25&gt;0,CHOOSE(MATCH(RegimeExecucao,{"Unitário","Global"},0),IF($A25="S",BR25/BN25,""),(BR25/BN25)*100),"")</f>
        <v>#REF!</v>
      </c>
      <c r="BL25" s="706"/>
      <c r="BM25" s="707"/>
      <c r="BN25" s="708" t="e">
        <f>IF(BR25&gt;0,CHOOSE(MATCH(RegimeExecucao,{"Unitário","Global"},0),IF($A25="S",ROUND(P25,arredunit),""),ROUND(R25,arredtot)),"")</f>
        <v>#REF!</v>
      </c>
      <c r="BO25" s="709"/>
      <c r="BP25" s="709"/>
      <c r="BQ25" s="710"/>
      <c r="BR25" s="708" t="e">
        <f t="shared" si="1"/>
        <v>#REF!</v>
      </c>
      <c r="BS25" s="709"/>
      <c r="BT25" s="709"/>
      <c r="BU25" s="710"/>
      <c r="BV25" s="711"/>
      <c r="BW25" s="711"/>
      <c r="BX25" s="711"/>
      <c r="BY25" s="711"/>
      <c r="BZ25" s="711"/>
      <c r="CA25" s="712"/>
      <c r="CB25" s="16"/>
      <c r="CC25" s="16"/>
    </row>
    <row r="26" spans="1:81" ht="39.6">
      <c r="A26" s="59" t="str">
        <f t="shared" si="13"/>
        <v>S</v>
      </c>
      <c r="B26" s="59">
        <f t="shared" si="14"/>
        <v>0</v>
      </c>
      <c r="C26" s="59">
        <f t="shared" ca="1" si="2"/>
        <v>3</v>
      </c>
      <c r="D26" s="59">
        <f t="shared" ca="1" si="3"/>
        <v>1</v>
      </c>
      <c r="E26" s="59">
        <f t="shared" ca="1" si="4"/>
        <v>0</v>
      </c>
      <c r="F26" s="59">
        <f t="shared" ca="1" si="5"/>
        <v>0</v>
      </c>
      <c r="G26" s="59">
        <f t="shared" ca="1" si="6"/>
        <v>7</v>
      </c>
      <c r="H26" s="59">
        <f t="shared" ca="1" si="7"/>
        <v>0</v>
      </c>
      <c r="I26" s="59">
        <f t="shared" ca="1" si="8"/>
        <v>0</v>
      </c>
      <c r="J26" s="59">
        <f t="shared" si="9"/>
        <v>2</v>
      </c>
      <c r="K26" s="127" t="s">
        <v>4</v>
      </c>
      <c r="L26" s="165" t="s">
        <v>69</v>
      </c>
      <c r="M26" s="129" t="s">
        <v>70</v>
      </c>
      <c r="N26" s="130" t="s">
        <v>49</v>
      </c>
      <c r="O26" s="131">
        <v>1.5000262977962446</v>
      </c>
      <c r="P26" s="132">
        <v>380.26</v>
      </c>
      <c r="Q26" s="133">
        <f t="shared" si="15"/>
        <v>0</v>
      </c>
      <c r="R26" s="1">
        <f t="shared" si="21"/>
        <v>570.4</v>
      </c>
      <c r="S26" s="2">
        <v>1.5</v>
      </c>
      <c r="T26" s="3"/>
      <c r="U26" s="4">
        <f t="shared" si="22"/>
        <v>1.5</v>
      </c>
      <c r="V26" s="5">
        <f t="shared" si="25"/>
        <v>570.4</v>
      </c>
      <c r="W26" s="6">
        <f t="shared" si="26"/>
        <v>0</v>
      </c>
      <c r="X26" s="7">
        <f t="shared" si="23"/>
        <v>570.4</v>
      </c>
      <c r="Y26" s="134"/>
      <c r="Z26" s="135">
        <v>1.5</v>
      </c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7"/>
      <c r="AL26" s="135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7"/>
      <c r="AX26" s="16"/>
      <c r="AY26" s="138">
        <v>0</v>
      </c>
      <c r="AZ26" s="8">
        <f t="shared" si="16"/>
        <v>0</v>
      </c>
      <c r="BA26" s="139">
        <v>0</v>
      </c>
      <c r="BB26" s="9" t="e">
        <f t="shared" si="11"/>
        <v>#REF!</v>
      </c>
      <c r="BC26" s="10" t="e">
        <f t="shared" si="17"/>
        <v>#REF!</v>
      </c>
      <c r="BD26" s="11" t="e">
        <f t="shared" si="12"/>
        <v>#REF!</v>
      </c>
      <c r="BF26" s="701" t="e">
        <f t="shared" si="18"/>
        <v>#REF!</v>
      </c>
      <c r="BG26" s="702"/>
      <c r="BH26" s="12" t="e">
        <f t="shared" si="19"/>
        <v>#REF!</v>
      </c>
      <c r="BI26" s="703" t="e">
        <f t="shared" si="20"/>
        <v>#REF!</v>
      </c>
      <c r="BJ26" s="704"/>
      <c r="BK26" s="705" t="e">
        <f>IF(BR26&gt;0,CHOOSE(MATCH(RegimeExecucao,{"Unitário","Global"},0),IF($A26="S",BR26/BN26,""),(BR26/BN26)*100),"")</f>
        <v>#REF!</v>
      </c>
      <c r="BL26" s="706"/>
      <c r="BM26" s="707"/>
      <c r="BN26" s="708" t="e">
        <f>IF(BR26&gt;0,CHOOSE(MATCH(RegimeExecucao,{"Unitário","Global"},0),IF($A26="S",ROUND(P26,arredunit),""),ROUND(R26,arredtot)),"")</f>
        <v>#REF!</v>
      </c>
      <c r="BO26" s="709"/>
      <c r="BP26" s="709"/>
      <c r="BQ26" s="710"/>
      <c r="BR26" s="708" t="e">
        <f t="shared" si="1"/>
        <v>#REF!</v>
      </c>
      <c r="BS26" s="709"/>
      <c r="BT26" s="709"/>
      <c r="BU26" s="710"/>
      <c r="BV26" s="711"/>
      <c r="BW26" s="711"/>
      <c r="BX26" s="711"/>
      <c r="BY26" s="711"/>
      <c r="BZ26" s="711"/>
      <c r="CA26" s="712"/>
      <c r="CB26" s="16"/>
      <c r="CC26" s="16"/>
    </row>
    <row r="27" spans="1:81" ht="26.4">
      <c r="A27" s="59" t="str">
        <f t="shared" si="13"/>
        <v>S</v>
      </c>
      <c r="B27" s="59">
        <f t="shared" si="14"/>
        <v>0</v>
      </c>
      <c r="C27" s="59">
        <f t="shared" ca="1" si="2"/>
        <v>3</v>
      </c>
      <c r="D27" s="59">
        <f t="shared" ca="1" si="3"/>
        <v>1</v>
      </c>
      <c r="E27" s="59">
        <f t="shared" ca="1" si="4"/>
        <v>0</v>
      </c>
      <c r="F27" s="59">
        <f t="shared" ca="1" si="5"/>
        <v>0</v>
      </c>
      <c r="G27" s="59">
        <f t="shared" ca="1" si="6"/>
        <v>8</v>
      </c>
      <c r="H27" s="59">
        <f t="shared" ca="1" si="7"/>
        <v>0</v>
      </c>
      <c r="I27" s="59">
        <f t="shared" ca="1" si="8"/>
        <v>0</v>
      </c>
      <c r="J27" s="59">
        <f t="shared" si="9"/>
        <v>2</v>
      </c>
      <c r="K27" s="127" t="s">
        <v>4</v>
      </c>
      <c r="L27" s="165" t="s">
        <v>71</v>
      </c>
      <c r="M27" s="129" t="s">
        <v>72</v>
      </c>
      <c r="N27" s="130" t="s">
        <v>49</v>
      </c>
      <c r="O27" s="131">
        <v>1.5</v>
      </c>
      <c r="P27" s="132">
        <v>31.88</v>
      </c>
      <c r="Q27" s="133">
        <f t="shared" si="15"/>
        <v>0</v>
      </c>
      <c r="R27" s="1">
        <f t="shared" si="21"/>
        <v>47.82</v>
      </c>
      <c r="S27" s="2">
        <v>1.5</v>
      </c>
      <c r="T27" s="3"/>
      <c r="U27" s="4">
        <f t="shared" si="22"/>
        <v>1.5</v>
      </c>
      <c r="V27" s="5">
        <f t="shared" si="25"/>
        <v>47.82</v>
      </c>
      <c r="W27" s="6">
        <f t="shared" si="26"/>
        <v>0</v>
      </c>
      <c r="X27" s="7">
        <f t="shared" si="23"/>
        <v>47.82</v>
      </c>
      <c r="Y27" s="134"/>
      <c r="Z27" s="135">
        <v>1.5</v>
      </c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7"/>
      <c r="AL27" s="135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7"/>
      <c r="AX27" s="16"/>
      <c r="AY27" s="138">
        <v>0</v>
      </c>
      <c r="AZ27" s="8">
        <f t="shared" si="16"/>
        <v>0</v>
      </c>
      <c r="BA27" s="139">
        <v>0</v>
      </c>
      <c r="BB27" s="9" t="e">
        <f t="shared" si="11"/>
        <v>#REF!</v>
      </c>
      <c r="BC27" s="10" t="e">
        <f t="shared" si="17"/>
        <v>#REF!</v>
      </c>
      <c r="BD27" s="11" t="e">
        <f t="shared" si="12"/>
        <v>#REF!</v>
      </c>
      <c r="BF27" s="701" t="e">
        <f t="shared" si="18"/>
        <v>#REF!</v>
      </c>
      <c r="BG27" s="702"/>
      <c r="BH27" s="12" t="e">
        <f t="shared" si="19"/>
        <v>#REF!</v>
      </c>
      <c r="BI27" s="703" t="e">
        <f t="shared" si="20"/>
        <v>#REF!</v>
      </c>
      <c r="BJ27" s="704"/>
      <c r="BK27" s="705" t="e">
        <f>IF(BR27&gt;0,CHOOSE(MATCH(RegimeExecucao,{"Unitário","Global"},0),IF($A27="S",BR27/BN27,""),(BR27/BN27)*100),"")</f>
        <v>#REF!</v>
      </c>
      <c r="BL27" s="706"/>
      <c r="BM27" s="707"/>
      <c r="BN27" s="708" t="e">
        <f>IF(BR27&gt;0,CHOOSE(MATCH(RegimeExecucao,{"Unitário","Global"},0),IF($A27="S",ROUND(P27,arredunit),""),ROUND(R27,arredtot)),"")</f>
        <v>#REF!</v>
      </c>
      <c r="BO27" s="709"/>
      <c r="BP27" s="709"/>
      <c r="BQ27" s="710"/>
      <c r="BR27" s="708" t="e">
        <f t="shared" si="1"/>
        <v>#REF!</v>
      </c>
      <c r="BS27" s="709"/>
      <c r="BT27" s="709"/>
      <c r="BU27" s="710"/>
      <c r="BV27" s="711"/>
      <c r="BW27" s="711"/>
      <c r="BX27" s="711"/>
      <c r="BY27" s="711"/>
      <c r="BZ27" s="711"/>
      <c r="CA27" s="712"/>
      <c r="CB27" s="16"/>
      <c r="CC27" s="16"/>
    </row>
    <row r="28" spans="1:81">
      <c r="A28" s="59">
        <f t="shared" si="13"/>
        <v>2</v>
      </c>
      <c r="B28" s="59">
        <f t="shared" ca="1" si="14"/>
        <v>3</v>
      </c>
      <c r="C28" s="59">
        <f t="shared" ca="1" si="2"/>
        <v>3</v>
      </c>
      <c r="D28" s="59">
        <f t="shared" ca="1" si="3"/>
        <v>2</v>
      </c>
      <c r="E28" s="59">
        <f t="shared" ca="1" si="4"/>
        <v>0</v>
      </c>
      <c r="F28" s="59">
        <f t="shared" ca="1" si="5"/>
        <v>0</v>
      </c>
      <c r="G28" s="59">
        <f t="shared" ca="1" si="6"/>
        <v>0</v>
      </c>
      <c r="H28" s="59">
        <f t="shared" ca="1" si="7"/>
        <v>3</v>
      </c>
      <c r="I28" s="59" t="e">
        <f t="shared" ca="1" si="8"/>
        <v>#N/A</v>
      </c>
      <c r="J28" s="59">
        <f t="shared" si="9"/>
        <v>1</v>
      </c>
      <c r="K28" s="127" t="str">
        <f>CHOOSE(1+LOG(1+2*($J28=3)+4*($J28=2)+8*($J28=1)+16*(AND($L28&lt;&gt;"",$L28&lt;&gt;0,$J28=0))+32*OR($N28&lt;&gt;"",RegimeExecucao="Global",AND($L28="",$M28="",$N28="")),2),"","Nível 4","Nível 3","Nível 2","Meta","Serviço")</f>
        <v>Nível 2</v>
      </c>
      <c r="L28" s="165" t="s">
        <v>73</v>
      </c>
      <c r="M28" s="129" t="s">
        <v>74</v>
      </c>
      <c r="N28" s="130"/>
      <c r="O28" s="131"/>
      <c r="P28" s="132"/>
      <c r="Q28" s="133">
        <f t="shared" si="15"/>
        <v>945.0619999999999</v>
      </c>
      <c r="R28" s="1">
        <f>SUM(R29:R30)</f>
        <v>945.0619999999999</v>
      </c>
      <c r="S28" s="2">
        <f t="shared" ca="1" si="10"/>
        <v>0</v>
      </c>
      <c r="T28" s="3">
        <f t="shared" si="24"/>
        <v>0</v>
      </c>
      <c r="U28" s="4">
        <f t="shared" ca="1" si="22"/>
        <v>0</v>
      </c>
      <c r="V28" s="1">
        <f>SUM(V29:V30)</f>
        <v>945.0619999999999</v>
      </c>
      <c r="W28" s="1">
        <f>SUM(W29:W30)</f>
        <v>0</v>
      </c>
      <c r="X28" s="7">
        <f t="shared" si="23"/>
        <v>945.0619999999999</v>
      </c>
      <c r="Y28" s="134"/>
      <c r="Z28" s="135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7"/>
      <c r="AL28" s="135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7"/>
      <c r="AX28" s="16"/>
      <c r="AY28" s="138">
        <v>0</v>
      </c>
      <c r="AZ28" s="8">
        <f t="shared" si="16"/>
        <v>0</v>
      </c>
      <c r="BA28" s="139">
        <v>0</v>
      </c>
      <c r="BB28" s="9" t="e">
        <f t="shared" ca="1" si="11"/>
        <v>#REF!</v>
      </c>
      <c r="BC28" s="10" t="e">
        <f t="shared" ca="1" si="17"/>
        <v>#REF!</v>
      </c>
      <c r="BD28" s="11" t="e">
        <f t="shared" ca="1" si="12"/>
        <v>#REF!</v>
      </c>
      <c r="BF28" s="701" t="e">
        <f t="shared" ca="1" si="18"/>
        <v>#REF!</v>
      </c>
      <c r="BG28" s="702"/>
      <c r="BH28" s="12" t="e">
        <f t="shared" ca="1" si="19"/>
        <v>#REF!</v>
      </c>
      <c r="BI28" s="703" t="e">
        <f t="shared" ca="1" si="20"/>
        <v>#REF!</v>
      </c>
      <c r="BJ28" s="704"/>
      <c r="BK28" s="705" t="e">
        <f ca="1">IF(BR28&gt;0,CHOOSE(MATCH(RegimeExecucao,{"Unitário","Global"},0),IF($A28="S",BR28/BN28,""),(BR28/BN28)*100),"")</f>
        <v>#REF!</v>
      </c>
      <c r="BL28" s="706"/>
      <c r="BM28" s="707"/>
      <c r="BN28" s="708" t="e">
        <f ca="1">IF(BR28&gt;0,CHOOSE(MATCH(RegimeExecucao,{"Unitário","Global"},0),IF($A28="S",ROUND(P28,arredunit),""),ROUND(R28,arredtot)),"")</f>
        <v>#REF!</v>
      </c>
      <c r="BO28" s="709"/>
      <c r="BP28" s="709"/>
      <c r="BQ28" s="710"/>
      <c r="BR28" s="708" t="e">
        <f t="shared" ca="1" si="1"/>
        <v>#REF!</v>
      </c>
      <c r="BS28" s="709"/>
      <c r="BT28" s="709"/>
      <c r="BU28" s="710"/>
      <c r="BV28" s="711"/>
      <c r="BW28" s="711"/>
      <c r="BX28" s="711"/>
      <c r="BY28" s="711"/>
      <c r="BZ28" s="711"/>
      <c r="CA28" s="712"/>
      <c r="CB28" s="16"/>
      <c r="CC28" s="16"/>
    </row>
    <row r="29" spans="1:81" ht="39.6">
      <c r="A29" s="59" t="str">
        <f t="shared" si="13"/>
        <v>S</v>
      </c>
      <c r="B29" s="59">
        <f t="shared" si="14"/>
        <v>0</v>
      </c>
      <c r="C29" s="59">
        <f t="shared" ca="1" si="2"/>
        <v>3</v>
      </c>
      <c r="D29" s="59">
        <f t="shared" ca="1" si="3"/>
        <v>2</v>
      </c>
      <c r="E29" s="59">
        <f t="shared" ca="1" si="4"/>
        <v>0</v>
      </c>
      <c r="F29" s="59">
        <f t="shared" ca="1" si="5"/>
        <v>0</v>
      </c>
      <c r="G29" s="59">
        <f t="shared" ca="1" si="6"/>
        <v>1</v>
      </c>
      <c r="H29" s="59">
        <f t="shared" ca="1" si="7"/>
        <v>0</v>
      </c>
      <c r="I29" s="59">
        <f t="shared" ca="1" si="8"/>
        <v>0</v>
      </c>
      <c r="J29" s="59">
        <f t="shared" si="9"/>
        <v>2</v>
      </c>
      <c r="K29" s="127" t="s">
        <v>4</v>
      </c>
      <c r="L29" s="165" t="s">
        <v>75</v>
      </c>
      <c r="M29" s="129" t="s">
        <v>76</v>
      </c>
      <c r="N29" s="130" t="s">
        <v>49</v>
      </c>
      <c r="O29" s="131">
        <v>0.9</v>
      </c>
      <c r="P29" s="132">
        <v>643.17999999999995</v>
      </c>
      <c r="Q29" s="133">
        <f t="shared" si="15"/>
        <v>0</v>
      </c>
      <c r="R29" s="1">
        <f t="shared" si="21"/>
        <v>578.86199999999997</v>
      </c>
      <c r="S29" s="2">
        <v>0.9</v>
      </c>
      <c r="T29" s="3"/>
      <c r="U29" s="4">
        <f t="shared" si="22"/>
        <v>0.9</v>
      </c>
      <c r="V29" s="5">
        <f t="shared" si="25"/>
        <v>578.86199999999997</v>
      </c>
      <c r="W29" s="6">
        <f t="shared" si="26"/>
        <v>0</v>
      </c>
      <c r="X29" s="7">
        <f t="shared" si="23"/>
        <v>578.86199999999997</v>
      </c>
      <c r="Y29" s="134"/>
      <c r="Z29" s="135">
        <v>0.9</v>
      </c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7"/>
      <c r="AL29" s="135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7"/>
      <c r="AX29" s="16"/>
      <c r="AY29" s="138">
        <v>0</v>
      </c>
      <c r="AZ29" s="8">
        <f t="shared" si="16"/>
        <v>0</v>
      </c>
      <c r="BA29" s="139">
        <v>0</v>
      </c>
      <c r="BB29" s="9" t="e">
        <f t="shared" si="11"/>
        <v>#REF!</v>
      </c>
      <c r="BC29" s="10" t="e">
        <f t="shared" si="17"/>
        <v>#REF!</v>
      </c>
      <c r="BD29" s="11" t="e">
        <f t="shared" si="12"/>
        <v>#REF!</v>
      </c>
      <c r="BF29" s="701" t="e">
        <f t="shared" si="18"/>
        <v>#REF!</v>
      </c>
      <c r="BG29" s="702"/>
      <c r="BH29" s="12" t="e">
        <f t="shared" si="19"/>
        <v>#REF!</v>
      </c>
      <c r="BI29" s="703" t="e">
        <f t="shared" si="20"/>
        <v>#REF!</v>
      </c>
      <c r="BJ29" s="704"/>
      <c r="BK29" s="705" t="e">
        <f>IF(BR29&gt;0,CHOOSE(MATCH(RegimeExecucao,{"Unitário","Global"},0),IF($A29="S",BR29/BN29,""),(BR29/BN29)*100),"")</f>
        <v>#REF!</v>
      </c>
      <c r="BL29" s="706"/>
      <c r="BM29" s="707"/>
      <c r="BN29" s="708" t="e">
        <f>IF(BR29&gt;0,CHOOSE(MATCH(RegimeExecucao,{"Unitário","Global"},0),IF($A29="S",ROUND(P29,arredunit),""),ROUND(R29,arredtot)),"")</f>
        <v>#REF!</v>
      </c>
      <c r="BO29" s="709"/>
      <c r="BP29" s="709"/>
      <c r="BQ29" s="710"/>
      <c r="BR29" s="708" t="e">
        <f t="shared" si="1"/>
        <v>#REF!</v>
      </c>
      <c r="BS29" s="709"/>
      <c r="BT29" s="709"/>
      <c r="BU29" s="710"/>
      <c r="BV29" s="711"/>
      <c r="BW29" s="711"/>
      <c r="BX29" s="711"/>
      <c r="BY29" s="711"/>
      <c r="BZ29" s="711"/>
      <c r="CA29" s="712"/>
      <c r="CB29" s="16"/>
      <c r="CC29" s="16"/>
    </row>
    <row r="30" spans="1:81" ht="26.4">
      <c r="A30" s="59" t="str">
        <f t="shared" si="13"/>
        <v>S</v>
      </c>
      <c r="B30" s="59">
        <f t="shared" si="14"/>
        <v>0</v>
      </c>
      <c r="C30" s="59">
        <f t="shared" ca="1" si="2"/>
        <v>3</v>
      </c>
      <c r="D30" s="59">
        <f t="shared" ca="1" si="3"/>
        <v>2</v>
      </c>
      <c r="E30" s="59">
        <f t="shared" ca="1" si="4"/>
        <v>0</v>
      </c>
      <c r="F30" s="59">
        <f t="shared" ca="1" si="5"/>
        <v>0</v>
      </c>
      <c r="G30" s="59">
        <f t="shared" ca="1" si="6"/>
        <v>2</v>
      </c>
      <c r="H30" s="59">
        <f t="shared" ca="1" si="7"/>
        <v>0</v>
      </c>
      <c r="I30" s="59">
        <f t="shared" ca="1" si="8"/>
        <v>0</v>
      </c>
      <c r="J30" s="59">
        <f t="shared" si="9"/>
        <v>2</v>
      </c>
      <c r="K30" s="127" t="s">
        <v>4</v>
      </c>
      <c r="L30" s="165" t="s">
        <v>77</v>
      </c>
      <c r="M30" s="129" t="s">
        <v>78</v>
      </c>
      <c r="N30" s="130" t="s">
        <v>43</v>
      </c>
      <c r="O30" s="131">
        <v>32</v>
      </c>
      <c r="P30" s="132">
        <v>11.44375</v>
      </c>
      <c r="Q30" s="133">
        <f t="shared" si="15"/>
        <v>0</v>
      </c>
      <c r="R30" s="1">
        <f t="shared" si="21"/>
        <v>366.2</v>
      </c>
      <c r="S30" s="2">
        <v>32</v>
      </c>
      <c r="T30" s="3"/>
      <c r="U30" s="4">
        <f t="shared" si="22"/>
        <v>32</v>
      </c>
      <c r="V30" s="5">
        <f t="shared" si="25"/>
        <v>366.2</v>
      </c>
      <c r="W30" s="6">
        <f t="shared" si="26"/>
        <v>0</v>
      </c>
      <c r="X30" s="7">
        <f t="shared" si="23"/>
        <v>366.2</v>
      </c>
      <c r="Y30" s="134"/>
      <c r="Z30" s="135">
        <v>32</v>
      </c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7"/>
      <c r="AL30" s="135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7"/>
      <c r="AX30" s="16"/>
      <c r="AY30" s="138">
        <v>0</v>
      </c>
      <c r="AZ30" s="8">
        <f t="shared" si="16"/>
        <v>0</v>
      </c>
      <c r="BA30" s="139">
        <v>0</v>
      </c>
      <c r="BB30" s="9" t="e">
        <f t="shared" si="11"/>
        <v>#REF!</v>
      </c>
      <c r="BC30" s="10" t="e">
        <f t="shared" si="17"/>
        <v>#REF!</v>
      </c>
      <c r="BD30" s="11" t="e">
        <f t="shared" si="12"/>
        <v>#REF!</v>
      </c>
      <c r="BF30" s="701" t="e">
        <f t="shared" si="18"/>
        <v>#REF!</v>
      </c>
      <c r="BG30" s="702"/>
      <c r="BH30" s="12" t="e">
        <f t="shared" si="19"/>
        <v>#REF!</v>
      </c>
      <c r="BI30" s="703" t="e">
        <f t="shared" si="20"/>
        <v>#REF!</v>
      </c>
      <c r="BJ30" s="704"/>
      <c r="BK30" s="705" t="e">
        <f>IF(BR30&gt;0,CHOOSE(MATCH(RegimeExecucao,{"Unitário","Global"},0),IF($A30="S",BR30/BN30,""),(BR30/BN30)*100),"")</f>
        <v>#REF!</v>
      </c>
      <c r="BL30" s="706"/>
      <c r="BM30" s="707"/>
      <c r="BN30" s="708" t="e">
        <f>IF(BR30&gt;0,CHOOSE(MATCH(RegimeExecucao,{"Unitário","Global"},0),IF($A30="S",ROUND(P30,arredunit),""),ROUND(R30,arredtot)),"")</f>
        <v>#REF!</v>
      </c>
      <c r="BO30" s="709"/>
      <c r="BP30" s="709"/>
      <c r="BQ30" s="710"/>
      <c r="BR30" s="708" t="e">
        <f t="shared" si="1"/>
        <v>#REF!</v>
      </c>
      <c r="BS30" s="709"/>
      <c r="BT30" s="709"/>
      <c r="BU30" s="710"/>
      <c r="BV30" s="711"/>
      <c r="BW30" s="711"/>
      <c r="BX30" s="711"/>
      <c r="BY30" s="711"/>
      <c r="BZ30" s="711"/>
      <c r="CA30" s="712"/>
      <c r="CB30" s="16"/>
      <c r="CC30" s="16"/>
    </row>
    <row r="31" spans="1:81">
      <c r="A31" s="59">
        <f t="shared" si="13"/>
        <v>1</v>
      </c>
      <c r="B31" s="59">
        <f t="shared" ca="1" si="14"/>
        <v>2</v>
      </c>
      <c r="C31" s="59">
        <f t="shared" ca="1" si="2"/>
        <v>4</v>
      </c>
      <c r="D31" s="59">
        <f t="shared" ca="1" si="3"/>
        <v>0</v>
      </c>
      <c r="E31" s="59">
        <f t="shared" ca="1" si="4"/>
        <v>0</v>
      </c>
      <c r="F31" s="59">
        <f t="shared" ca="1" si="5"/>
        <v>0</v>
      </c>
      <c r="G31" s="59">
        <f t="shared" ca="1" si="6"/>
        <v>0</v>
      </c>
      <c r="H31" s="59">
        <f t="shared" ca="1" si="7"/>
        <v>58</v>
      </c>
      <c r="I31" s="59">
        <f t="shared" ca="1" si="8"/>
        <v>2</v>
      </c>
      <c r="J31" s="59">
        <f t="shared" si="9"/>
        <v>0</v>
      </c>
      <c r="K31" s="127" t="str">
        <f>CHOOSE(1+LOG(1+2*($J31=3)+4*($J31=2)+8*($J31=1)+16*(AND($L31&lt;&gt;"",$L31&lt;&gt;0,$J31=0))+32*OR($N31&lt;&gt;"",RegimeExecucao="Global",AND($L31="",$M31="",$N31="")),2),"","Nível 4","Nível 3","Nível 2","Meta","Serviço")</f>
        <v>Meta</v>
      </c>
      <c r="L31" s="128">
        <v>4</v>
      </c>
      <c r="M31" s="129" t="s">
        <v>79</v>
      </c>
      <c r="N31" s="130"/>
      <c r="O31" s="131"/>
      <c r="P31" s="132"/>
      <c r="Q31" s="133">
        <f t="shared" si="15"/>
        <v>6601.99</v>
      </c>
      <c r="R31" s="1">
        <f>R32</f>
        <v>6601.99</v>
      </c>
      <c r="S31" s="2">
        <f t="shared" ca="1" si="10"/>
        <v>0</v>
      </c>
      <c r="T31" s="3">
        <f t="shared" si="24"/>
        <v>0</v>
      </c>
      <c r="U31" s="4">
        <f t="shared" ca="1" si="22"/>
        <v>0</v>
      </c>
      <c r="V31" s="1">
        <f>V32</f>
        <v>0</v>
      </c>
      <c r="W31" s="1">
        <f>W32</f>
        <v>3138.4104314814817</v>
      </c>
      <c r="X31" s="7">
        <f t="shared" si="23"/>
        <v>3138.4104314814817</v>
      </c>
      <c r="Y31" s="134"/>
      <c r="Z31" s="135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7"/>
      <c r="AL31" s="135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7"/>
      <c r="AX31" s="16"/>
      <c r="AY31" s="138">
        <v>0</v>
      </c>
      <c r="AZ31" s="8">
        <f t="shared" si="16"/>
        <v>0</v>
      </c>
      <c r="BA31" s="139">
        <v>0</v>
      </c>
      <c r="BB31" s="9" t="e">
        <f t="shared" ca="1" si="11"/>
        <v>#REF!</v>
      </c>
      <c r="BC31" s="10" t="e">
        <f t="shared" ca="1" si="17"/>
        <v>#REF!</v>
      </c>
      <c r="BD31" s="11" t="e">
        <f t="shared" ca="1" si="12"/>
        <v>#REF!</v>
      </c>
      <c r="BF31" s="701" t="e">
        <f t="shared" ca="1" si="18"/>
        <v>#REF!</v>
      </c>
      <c r="BG31" s="702"/>
      <c r="BH31" s="12" t="e">
        <f t="shared" ca="1" si="19"/>
        <v>#REF!</v>
      </c>
      <c r="BI31" s="703" t="e">
        <f t="shared" ca="1" si="20"/>
        <v>#REF!</v>
      </c>
      <c r="BJ31" s="704"/>
      <c r="BK31" s="705" t="e">
        <f ca="1">IF(BR31&gt;0,CHOOSE(MATCH(RegimeExecucao,{"Unitário","Global"},0),IF($A31="S",BR31/BN31,""),(BR31/BN31)*100),"")</f>
        <v>#REF!</v>
      </c>
      <c r="BL31" s="706"/>
      <c r="BM31" s="707"/>
      <c r="BN31" s="708" t="e">
        <f ca="1">IF(BR31&gt;0,CHOOSE(MATCH(RegimeExecucao,{"Unitário","Global"},0),IF($A31="S",ROUND(P31,arredunit),""),ROUND(R31,arredtot)),"")</f>
        <v>#REF!</v>
      </c>
      <c r="BO31" s="709"/>
      <c r="BP31" s="709"/>
      <c r="BQ31" s="710"/>
      <c r="BR31" s="708" t="e">
        <f t="shared" ca="1" si="1"/>
        <v>#REF!</v>
      </c>
      <c r="BS31" s="709"/>
      <c r="BT31" s="709"/>
      <c r="BU31" s="710"/>
      <c r="BV31" s="711"/>
      <c r="BW31" s="711"/>
      <c r="BX31" s="711"/>
      <c r="BY31" s="711"/>
      <c r="BZ31" s="711"/>
      <c r="CA31" s="712"/>
      <c r="CB31" s="16"/>
      <c r="CC31" s="16"/>
    </row>
    <row r="32" spans="1:81" ht="66">
      <c r="A32" s="59" t="str">
        <f t="shared" si="13"/>
        <v>S</v>
      </c>
      <c r="B32" s="59">
        <f t="shared" si="14"/>
        <v>0</v>
      </c>
      <c r="C32" s="59">
        <f t="shared" ca="1" si="2"/>
        <v>4</v>
      </c>
      <c r="D32" s="59">
        <f t="shared" ca="1" si="3"/>
        <v>0</v>
      </c>
      <c r="E32" s="59">
        <f t="shared" ca="1" si="4"/>
        <v>0</v>
      </c>
      <c r="F32" s="59">
        <f t="shared" ca="1" si="5"/>
        <v>0</v>
      </c>
      <c r="G32" s="59">
        <f t="shared" ca="1" si="6"/>
        <v>1</v>
      </c>
      <c r="H32" s="59">
        <f t="shared" ca="1" si="7"/>
        <v>0</v>
      </c>
      <c r="I32" s="59">
        <f t="shared" ca="1" si="8"/>
        <v>0</v>
      </c>
      <c r="J32" s="59">
        <f t="shared" si="9"/>
        <v>1</v>
      </c>
      <c r="K32" s="127" t="s">
        <v>4</v>
      </c>
      <c r="L32" s="165" t="s">
        <v>80</v>
      </c>
      <c r="M32" s="129" t="s">
        <v>81</v>
      </c>
      <c r="N32" s="130" t="s">
        <v>43</v>
      </c>
      <c r="O32" s="131">
        <v>108</v>
      </c>
      <c r="P32" s="132">
        <v>61.129537037037039</v>
      </c>
      <c r="Q32" s="133">
        <f t="shared" si="15"/>
        <v>0</v>
      </c>
      <c r="R32" s="1">
        <f t="shared" si="21"/>
        <v>6601.99</v>
      </c>
      <c r="S32" s="2">
        <f t="shared" ca="1" si="10"/>
        <v>0</v>
      </c>
      <c r="T32" s="3">
        <v>51.34</v>
      </c>
      <c r="U32" s="4">
        <f t="shared" ca="1" si="22"/>
        <v>51.34</v>
      </c>
      <c r="V32" s="5">
        <f t="shared" si="25"/>
        <v>0</v>
      </c>
      <c r="W32" s="6">
        <f>IF(O32-AA32&gt;0.01,AA32*P32,R32)+0.02</f>
        <v>3138.4104314814817</v>
      </c>
      <c r="X32" s="7">
        <f t="shared" si="23"/>
        <v>3138.4104314814817</v>
      </c>
      <c r="Y32" s="134"/>
      <c r="Z32" s="135"/>
      <c r="AA32" s="136">
        <v>51.34</v>
      </c>
      <c r="AB32" s="136"/>
      <c r="AC32" s="136"/>
      <c r="AD32" s="136"/>
      <c r="AE32" s="136"/>
      <c r="AF32" s="136"/>
      <c r="AG32" s="136"/>
      <c r="AH32" s="136"/>
      <c r="AI32" s="136"/>
      <c r="AJ32" s="136"/>
      <c r="AK32" s="137"/>
      <c r="AL32" s="135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7"/>
      <c r="AX32" s="16"/>
      <c r="AY32" s="138">
        <v>0</v>
      </c>
      <c r="AZ32" s="8">
        <f t="shared" si="16"/>
        <v>0</v>
      </c>
      <c r="BA32" s="139">
        <v>0</v>
      </c>
      <c r="BB32" s="9" t="e">
        <f t="shared" si="11"/>
        <v>#REF!</v>
      </c>
      <c r="BC32" s="10" t="e">
        <f t="shared" si="17"/>
        <v>#REF!</v>
      </c>
      <c r="BD32" s="11" t="e">
        <f t="shared" si="12"/>
        <v>#REF!</v>
      </c>
      <c r="BF32" s="701" t="e">
        <f t="shared" si="18"/>
        <v>#REF!</v>
      </c>
      <c r="BG32" s="702"/>
      <c r="BH32" s="12" t="e">
        <f t="shared" si="19"/>
        <v>#REF!</v>
      </c>
      <c r="BI32" s="703" t="e">
        <f t="shared" si="20"/>
        <v>#REF!</v>
      </c>
      <c r="BJ32" s="704"/>
      <c r="BK32" s="705" t="e">
        <f>IF(BR32&gt;0,CHOOSE(MATCH(RegimeExecucao,{"Unitário","Global"},0),IF($A32="S",BR32/BN32,""),(BR32/BN32)*100),"")</f>
        <v>#REF!</v>
      </c>
      <c r="BL32" s="706"/>
      <c r="BM32" s="707"/>
      <c r="BN32" s="708" t="e">
        <f>IF(BR32&gt;0,CHOOSE(MATCH(RegimeExecucao,{"Unitário","Global"},0),IF($A32="S",ROUND(P32,arredunit),""),ROUND(R32,arredtot)),"")</f>
        <v>#REF!</v>
      </c>
      <c r="BO32" s="709"/>
      <c r="BP32" s="709"/>
      <c r="BQ32" s="710"/>
      <c r="BR32" s="708" t="e">
        <f t="shared" si="1"/>
        <v>#REF!</v>
      </c>
      <c r="BS32" s="709"/>
      <c r="BT32" s="709"/>
      <c r="BU32" s="710"/>
      <c r="BV32" s="711"/>
      <c r="BW32" s="711"/>
      <c r="BX32" s="711"/>
      <c r="BY32" s="711"/>
      <c r="BZ32" s="711"/>
      <c r="CA32" s="712"/>
      <c r="CB32" s="16"/>
      <c r="CC32" s="16"/>
    </row>
    <row r="33" spans="1:81">
      <c r="A33" s="59">
        <f t="shared" si="13"/>
        <v>1</v>
      </c>
      <c r="B33" s="59">
        <f t="shared" ca="1" si="14"/>
        <v>6</v>
      </c>
      <c r="C33" s="59">
        <f t="shared" ca="1" si="2"/>
        <v>5</v>
      </c>
      <c r="D33" s="59">
        <f t="shared" ca="1" si="3"/>
        <v>0</v>
      </c>
      <c r="E33" s="59">
        <f t="shared" ca="1" si="4"/>
        <v>0</v>
      </c>
      <c r="F33" s="59">
        <f t="shared" ca="1" si="5"/>
        <v>0</v>
      </c>
      <c r="G33" s="59">
        <f t="shared" ca="1" si="6"/>
        <v>0</v>
      </c>
      <c r="H33" s="59">
        <f t="shared" ca="1" si="7"/>
        <v>56</v>
      </c>
      <c r="I33" s="59">
        <f t="shared" ca="1" si="8"/>
        <v>6</v>
      </c>
      <c r="J33" s="59">
        <f t="shared" si="9"/>
        <v>0</v>
      </c>
      <c r="K33" s="127" t="str">
        <f>CHOOSE(1+LOG(1+2*($J33=3)+4*($J33=2)+8*($J33=1)+16*(AND($L33&lt;&gt;"",$L33&lt;&gt;0,$J33=0))+32*OR($N33&lt;&gt;"",RegimeExecucao="Global",AND($L33="",$M33="",$N33="")),2),"","Nível 4","Nível 3","Nível 2","Meta","Serviço")</f>
        <v>Meta</v>
      </c>
      <c r="L33" s="128">
        <v>5</v>
      </c>
      <c r="M33" s="129" t="s">
        <v>82</v>
      </c>
      <c r="N33" s="130"/>
      <c r="O33" s="131"/>
      <c r="P33" s="132"/>
      <c r="Q33" s="133">
        <f t="shared" si="15"/>
        <v>13363.421</v>
      </c>
      <c r="R33" s="1">
        <f>SUM(R34:R38)</f>
        <v>13363.421</v>
      </c>
      <c r="S33" s="2">
        <f t="shared" ca="1" si="10"/>
        <v>0</v>
      </c>
      <c r="T33" s="3">
        <f t="shared" si="24"/>
        <v>0</v>
      </c>
      <c r="U33" s="4">
        <f t="shared" ca="1" si="22"/>
        <v>0</v>
      </c>
      <c r="V33" s="1">
        <f>SUM(V34:V38)</f>
        <v>0</v>
      </c>
      <c r="W33" s="1">
        <f>SUM(W34:W38)</f>
        <v>883.82100000000003</v>
      </c>
      <c r="X33" s="7">
        <f t="shared" si="23"/>
        <v>883.82100000000003</v>
      </c>
      <c r="Y33" s="134"/>
      <c r="Z33" s="135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7"/>
      <c r="AL33" s="135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7"/>
      <c r="AX33" s="16"/>
      <c r="AY33" s="138">
        <v>0</v>
      </c>
      <c r="AZ33" s="8">
        <f t="shared" si="16"/>
        <v>0</v>
      </c>
      <c r="BA33" s="139">
        <v>0</v>
      </c>
      <c r="BB33" s="9" t="e">
        <f t="shared" ca="1" si="11"/>
        <v>#REF!</v>
      </c>
      <c r="BC33" s="10" t="e">
        <f t="shared" ca="1" si="17"/>
        <v>#REF!</v>
      </c>
      <c r="BD33" s="11" t="e">
        <f t="shared" ca="1" si="12"/>
        <v>#REF!</v>
      </c>
      <c r="BF33" s="701" t="e">
        <f t="shared" ca="1" si="18"/>
        <v>#REF!</v>
      </c>
      <c r="BG33" s="702"/>
      <c r="BH33" s="12" t="e">
        <f t="shared" ca="1" si="19"/>
        <v>#REF!</v>
      </c>
      <c r="BI33" s="703" t="e">
        <f t="shared" ca="1" si="20"/>
        <v>#REF!</v>
      </c>
      <c r="BJ33" s="704"/>
      <c r="BK33" s="705" t="e">
        <f ca="1">IF(BR33&gt;0,CHOOSE(MATCH(RegimeExecucao,{"Unitário","Global"},0),IF($A33="S",BR33/BN33,""),(BR33/BN33)*100),"")</f>
        <v>#REF!</v>
      </c>
      <c r="BL33" s="706"/>
      <c r="BM33" s="707"/>
      <c r="BN33" s="708" t="e">
        <f ca="1">IF(BR33&gt;0,CHOOSE(MATCH(RegimeExecucao,{"Unitário","Global"},0),IF($A33="S",ROUND(P33,arredunit),""),ROUND(R33,arredtot)),"")</f>
        <v>#REF!</v>
      </c>
      <c r="BO33" s="709"/>
      <c r="BP33" s="709"/>
      <c r="BQ33" s="710"/>
      <c r="BR33" s="708" t="e">
        <f t="shared" ca="1" si="1"/>
        <v>#REF!</v>
      </c>
      <c r="BS33" s="709"/>
      <c r="BT33" s="709"/>
      <c r="BU33" s="710"/>
      <c r="BV33" s="711"/>
      <c r="BW33" s="711"/>
      <c r="BX33" s="711"/>
      <c r="BY33" s="711"/>
      <c r="BZ33" s="711"/>
      <c r="CA33" s="712"/>
      <c r="CB33" s="16"/>
      <c r="CC33" s="16"/>
    </row>
    <row r="34" spans="1:81" ht="26.4">
      <c r="A34" s="59" t="str">
        <f t="shared" si="13"/>
        <v>S</v>
      </c>
      <c r="B34" s="59">
        <f t="shared" si="14"/>
        <v>0</v>
      </c>
      <c r="C34" s="59">
        <f t="shared" ca="1" si="2"/>
        <v>5</v>
      </c>
      <c r="D34" s="59">
        <f t="shared" ca="1" si="3"/>
        <v>0</v>
      </c>
      <c r="E34" s="59">
        <f t="shared" ca="1" si="4"/>
        <v>0</v>
      </c>
      <c r="F34" s="59">
        <f t="shared" ca="1" si="5"/>
        <v>0</v>
      </c>
      <c r="G34" s="59">
        <f t="shared" ca="1" si="6"/>
        <v>1</v>
      </c>
      <c r="H34" s="59">
        <f t="shared" ca="1" si="7"/>
        <v>0</v>
      </c>
      <c r="I34" s="59">
        <f t="shared" ca="1" si="8"/>
        <v>0</v>
      </c>
      <c r="J34" s="59">
        <f t="shared" si="9"/>
        <v>1</v>
      </c>
      <c r="K34" s="127" t="s">
        <v>4</v>
      </c>
      <c r="L34" s="165" t="s">
        <v>83</v>
      </c>
      <c r="M34" s="129" t="s">
        <v>84</v>
      </c>
      <c r="N34" s="130" t="s">
        <v>43</v>
      </c>
      <c r="O34" s="131">
        <v>10</v>
      </c>
      <c r="P34" s="132">
        <v>335.32</v>
      </c>
      <c r="Q34" s="133">
        <f t="shared" si="15"/>
        <v>0</v>
      </c>
      <c r="R34" s="1">
        <f t="shared" si="21"/>
        <v>3353.2</v>
      </c>
      <c r="S34" s="2">
        <f t="shared" ca="1" si="10"/>
        <v>0</v>
      </c>
      <c r="T34" s="3">
        <f t="shared" si="24"/>
        <v>0</v>
      </c>
      <c r="U34" s="4">
        <f t="shared" ca="1" si="22"/>
        <v>0</v>
      </c>
      <c r="V34" s="5">
        <f t="shared" si="25"/>
        <v>0</v>
      </c>
      <c r="W34" s="6">
        <f t="shared" si="26"/>
        <v>0</v>
      </c>
      <c r="X34" s="7">
        <f t="shared" si="23"/>
        <v>0</v>
      </c>
      <c r="Y34" s="134"/>
      <c r="Z34" s="135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7"/>
      <c r="AL34" s="135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7"/>
      <c r="AX34" s="16"/>
      <c r="AY34" s="138">
        <v>0</v>
      </c>
      <c r="AZ34" s="8">
        <f t="shared" si="16"/>
        <v>0</v>
      </c>
      <c r="BA34" s="139">
        <v>0</v>
      </c>
      <c r="BB34" s="9" t="e">
        <f t="shared" si="11"/>
        <v>#REF!</v>
      </c>
      <c r="BC34" s="10" t="e">
        <f t="shared" si="17"/>
        <v>#REF!</v>
      </c>
      <c r="BD34" s="11" t="e">
        <f t="shared" si="12"/>
        <v>#REF!</v>
      </c>
      <c r="BF34" s="701" t="e">
        <f t="shared" si="18"/>
        <v>#REF!</v>
      </c>
      <c r="BG34" s="702"/>
      <c r="BH34" s="12" t="e">
        <f t="shared" si="19"/>
        <v>#REF!</v>
      </c>
      <c r="BI34" s="703" t="e">
        <f t="shared" si="20"/>
        <v>#REF!</v>
      </c>
      <c r="BJ34" s="704"/>
      <c r="BK34" s="705" t="e">
        <f>IF(BR34&gt;0,CHOOSE(MATCH(RegimeExecucao,{"Unitário","Global"},0),IF($A34="S",BR34/BN34,""),(BR34/BN34)*100),"")</f>
        <v>#REF!</v>
      </c>
      <c r="BL34" s="706"/>
      <c r="BM34" s="707"/>
      <c r="BN34" s="708" t="e">
        <f>IF(BR34&gt;0,CHOOSE(MATCH(RegimeExecucao,{"Unitário","Global"},0),IF($A34="S",ROUND(P34,arredunit),""),ROUND(R34,arredtot)),"")</f>
        <v>#REF!</v>
      </c>
      <c r="BO34" s="709"/>
      <c r="BP34" s="709"/>
      <c r="BQ34" s="710"/>
      <c r="BR34" s="708" t="e">
        <f t="shared" si="1"/>
        <v>#REF!</v>
      </c>
      <c r="BS34" s="709"/>
      <c r="BT34" s="709"/>
      <c r="BU34" s="710"/>
      <c r="BV34" s="711"/>
      <c r="BW34" s="711"/>
      <c r="BX34" s="711"/>
      <c r="BY34" s="711"/>
      <c r="BZ34" s="711"/>
      <c r="CA34" s="712"/>
      <c r="CB34" s="16"/>
      <c r="CC34" s="16"/>
    </row>
    <row r="35" spans="1:81" ht="39.6">
      <c r="A35" s="59" t="str">
        <f t="shared" si="13"/>
        <v>S</v>
      </c>
      <c r="B35" s="59">
        <f t="shared" si="14"/>
        <v>0</v>
      </c>
      <c r="C35" s="59">
        <f t="shared" ca="1" si="2"/>
        <v>5</v>
      </c>
      <c r="D35" s="59">
        <f t="shared" ca="1" si="3"/>
        <v>0</v>
      </c>
      <c r="E35" s="59">
        <f t="shared" ca="1" si="4"/>
        <v>0</v>
      </c>
      <c r="F35" s="59">
        <f t="shared" ca="1" si="5"/>
        <v>0</v>
      </c>
      <c r="G35" s="59">
        <f t="shared" ca="1" si="6"/>
        <v>2</v>
      </c>
      <c r="H35" s="59">
        <f t="shared" ca="1" si="7"/>
        <v>0</v>
      </c>
      <c r="I35" s="59">
        <f t="shared" ca="1" si="8"/>
        <v>0</v>
      </c>
      <c r="J35" s="59">
        <f t="shared" si="9"/>
        <v>1</v>
      </c>
      <c r="K35" s="127" t="s">
        <v>4</v>
      </c>
      <c r="L35" s="165" t="s">
        <v>85</v>
      </c>
      <c r="M35" s="129" t="s">
        <v>86</v>
      </c>
      <c r="N35" s="130" t="s">
        <v>43</v>
      </c>
      <c r="O35" s="131">
        <v>5.9999862456931838</v>
      </c>
      <c r="P35" s="132">
        <v>1454.09</v>
      </c>
      <c r="Q35" s="133">
        <f t="shared" si="15"/>
        <v>0</v>
      </c>
      <c r="R35" s="1">
        <f t="shared" si="21"/>
        <v>8724.52</v>
      </c>
      <c r="S35" s="2">
        <f t="shared" ca="1" si="10"/>
        <v>0</v>
      </c>
      <c r="T35" s="3">
        <f t="shared" si="24"/>
        <v>0</v>
      </c>
      <c r="U35" s="4">
        <f t="shared" ca="1" si="22"/>
        <v>0</v>
      </c>
      <c r="V35" s="5">
        <f t="shared" si="25"/>
        <v>0</v>
      </c>
      <c r="W35" s="6">
        <f t="shared" si="26"/>
        <v>0</v>
      </c>
      <c r="X35" s="7">
        <f t="shared" si="23"/>
        <v>0</v>
      </c>
      <c r="Y35" s="134"/>
      <c r="Z35" s="135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7"/>
      <c r="AL35" s="135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7"/>
      <c r="AX35" s="16"/>
      <c r="AY35" s="138">
        <v>0</v>
      </c>
      <c r="AZ35" s="8">
        <f t="shared" si="16"/>
        <v>0</v>
      </c>
      <c r="BA35" s="139">
        <v>0</v>
      </c>
      <c r="BB35" s="9" t="e">
        <f t="shared" si="11"/>
        <v>#REF!</v>
      </c>
      <c r="BC35" s="10" t="e">
        <f t="shared" si="17"/>
        <v>#REF!</v>
      </c>
      <c r="BD35" s="11" t="e">
        <f t="shared" si="12"/>
        <v>#REF!</v>
      </c>
      <c r="BF35" s="701" t="e">
        <f t="shared" si="18"/>
        <v>#REF!</v>
      </c>
      <c r="BG35" s="702"/>
      <c r="BH35" s="12" t="e">
        <f t="shared" si="19"/>
        <v>#REF!</v>
      </c>
      <c r="BI35" s="703" t="e">
        <f t="shared" si="20"/>
        <v>#REF!</v>
      </c>
      <c r="BJ35" s="704"/>
      <c r="BK35" s="705" t="e">
        <f>IF(BR35&gt;0,CHOOSE(MATCH(RegimeExecucao,{"Unitário","Global"},0),IF($A35="S",BR35/BN35,""),(BR35/BN35)*100),"")</f>
        <v>#REF!</v>
      </c>
      <c r="BL35" s="706"/>
      <c r="BM35" s="707"/>
      <c r="BN35" s="708" t="e">
        <f>IF(BR35&gt;0,CHOOSE(MATCH(RegimeExecucao,{"Unitário","Global"},0),IF($A35="S",ROUND(P35,arredunit),""),ROUND(R35,arredtot)),"")</f>
        <v>#REF!</v>
      </c>
      <c r="BO35" s="709"/>
      <c r="BP35" s="709"/>
      <c r="BQ35" s="710"/>
      <c r="BR35" s="708" t="e">
        <f t="shared" si="1"/>
        <v>#REF!</v>
      </c>
      <c r="BS35" s="709"/>
      <c r="BT35" s="709"/>
      <c r="BU35" s="710"/>
      <c r="BV35" s="711"/>
      <c r="BW35" s="711"/>
      <c r="BX35" s="711"/>
      <c r="BY35" s="711"/>
      <c r="BZ35" s="711"/>
      <c r="CA35" s="712"/>
      <c r="CB35" s="16"/>
      <c r="CC35" s="16"/>
    </row>
    <row r="36" spans="1:81">
      <c r="A36" s="59" t="str">
        <f t="shared" si="13"/>
        <v>S</v>
      </c>
      <c r="B36" s="59">
        <f t="shared" si="14"/>
        <v>0</v>
      </c>
      <c r="C36" s="59">
        <f t="shared" ca="1" si="2"/>
        <v>5</v>
      </c>
      <c r="D36" s="59">
        <f t="shared" ca="1" si="3"/>
        <v>0</v>
      </c>
      <c r="E36" s="59">
        <f t="shared" ca="1" si="4"/>
        <v>0</v>
      </c>
      <c r="F36" s="59">
        <f t="shared" ca="1" si="5"/>
        <v>0</v>
      </c>
      <c r="G36" s="59">
        <f t="shared" ca="1" si="6"/>
        <v>3</v>
      </c>
      <c r="H36" s="59">
        <f t="shared" ca="1" si="7"/>
        <v>0</v>
      </c>
      <c r="I36" s="59">
        <f t="shared" ca="1" si="8"/>
        <v>0</v>
      </c>
      <c r="J36" s="59">
        <f t="shared" si="9"/>
        <v>1</v>
      </c>
      <c r="K36" s="127" t="s">
        <v>4</v>
      </c>
      <c r="L36" s="165" t="s">
        <v>87</v>
      </c>
      <c r="M36" s="129" t="s">
        <v>88</v>
      </c>
      <c r="N36" s="130" t="s">
        <v>43</v>
      </c>
      <c r="O36" s="131">
        <v>15.998805732484076</v>
      </c>
      <c r="P36" s="132">
        <v>25.12</v>
      </c>
      <c r="Q36" s="133">
        <f t="shared" si="15"/>
        <v>0</v>
      </c>
      <c r="R36" s="1">
        <f t="shared" si="21"/>
        <v>401.89</v>
      </c>
      <c r="S36" s="2">
        <f t="shared" ca="1" si="10"/>
        <v>0</v>
      </c>
      <c r="T36" s="3">
        <f t="shared" si="24"/>
        <v>0</v>
      </c>
      <c r="U36" s="4">
        <f t="shared" ca="1" si="22"/>
        <v>0</v>
      </c>
      <c r="V36" s="5">
        <f t="shared" si="25"/>
        <v>0</v>
      </c>
      <c r="W36" s="6">
        <f t="shared" si="26"/>
        <v>0</v>
      </c>
      <c r="X36" s="7">
        <f t="shared" si="23"/>
        <v>0</v>
      </c>
      <c r="Y36" s="134"/>
      <c r="Z36" s="135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7"/>
      <c r="AL36" s="135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7"/>
      <c r="AX36" s="16"/>
      <c r="AY36" s="138">
        <v>0</v>
      </c>
      <c r="AZ36" s="8">
        <f t="shared" si="16"/>
        <v>0</v>
      </c>
      <c r="BA36" s="139">
        <v>0</v>
      </c>
      <c r="BB36" s="9" t="e">
        <f t="shared" si="11"/>
        <v>#REF!</v>
      </c>
      <c r="BC36" s="10" t="e">
        <f t="shared" si="17"/>
        <v>#REF!</v>
      </c>
      <c r="BD36" s="11" t="e">
        <f t="shared" si="12"/>
        <v>#REF!</v>
      </c>
      <c r="BF36" s="701" t="e">
        <f t="shared" si="18"/>
        <v>#REF!</v>
      </c>
      <c r="BG36" s="702"/>
      <c r="BH36" s="12" t="e">
        <f t="shared" si="19"/>
        <v>#REF!</v>
      </c>
      <c r="BI36" s="703" t="e">
        <f t="shared" si="20"/>
        <v>#REF!</v>
      </c>
      <c r="BJ36" s="704"/>
      <c r="BK36" s="705" t="e">
        <f>IF(BR36&gt;0,CHOOSE(MATCH(RegimeExecucao,{"Unitário","Global"},0),IF($A36="S",BR36/BN36,""),(BR36/BN36)*100),"")</f>
        <v>#REF!</v>
      </c>
      <c r="BL36" s="706"/>
      <c r="BM36" s="707"/>
      <c r="BN36" s="708" t="e">
        <f>IF(BR36&gt;0,CHOOSE(MATCH(RegimeExecucao,{"Unitário","Global"},0),IF($A36="S",ROUND(P36,arredunit),""),ROUND(R36,arredtot)),"")</f>
        <v>#REF!</v>
      </c>
      <c r="BO36" s="709"/>
      <c r="BP36" s="709"/>
      <c r="BQ36" s="710"/>
      <c r="BR36" s="708" t="e">
        <f t="shared" si="1"/>
        <v>#REF!</v>
      </c>
      <c r="BS36" s="709"/>
      <c r="BT36" s="709"/>
      <c r="BU36" s="710"/>
      <c r="BV36" s="711"/>
      <c r="BW36" s="711"/>
      <c r="BX36" s="711"/>
      <c r="BY36" s="711"/>
      <c r="BZ36" s="711"/>
      <c r="CA36" s="712"/>
      <c r="CB36" s="16"/>
      <c r="CC36" s="16"/>
    </row>
    <row r="37" spans="1:81" ht="26.4">
      <c r="A37" s="59" t="str">
        <f t="shared" si="13"/>
        <v>S</v>
      </c>
      <c r="B37" s="59">
        <f t="shared" si="14"/>
        <v>0</v>
      </c>
      <c r="C37" s="59">
        <f t="shared" ca="1" si="2"/>
        <v>5</v>
      </c>
      <c r="D37" s="59">
        <f t="shared" ca="1" si="3"/>
        <v>0</v>
      </c>
      <c r="E37" s="59">
        <f t="shared" ca="1" si="4"/>
        <v>0</v>
      </c>
      <c r="F37" s="59">
        <f t="shared" ca="1" si="5"/>
        <v>0</v>
      </c>
      <c r="G37" s="59">
        <f t="shared" ca="1" si="6"/>
        <v>4</v>
      </c>
      <c r="H37" s="59">
        <f t="shared" ca="1" si="7"/>
        <v>0</v>
      </c>
      <c r="I37" s="59">
        <f t="shared" ca="1" si="8"/>
        <v>0</v>
      </c>
      <c r="J37" s="59">
        <f t="shared" si="9"/>
        <v>1</v>
      </c>
      <c r="K37" s="127" t="s">
        <v>4</v>
      </c>
      <c r="L37" s="165" t="s">
        <v>89</v>
      </c>
      <c r="M37" s="129" t="s">
        <v>90</v>
      </c>
      <c r="N37" s="130" t="s">
        <v>43</v>
      </c>
      <c r="O37" s="131">
        <v>2.1</v>
      </c>
      <c r="P37" s="132">
        <v>8.61</v>
      </c>
      <c r="Q37" s="133">
        <f t="shared" si="15"/>
        <v>0</v>
      </c>
      <c r="R37" s="1">
        <f t="shared" si="21"/>
        <v>18.081</v>
      </c>
      <c r="S37" s="2">
        <f t="shared" ca="1" si="10"/>
        <v>0</v>
      </c>
      <c r="T37" s="3">
        <v>2.1</v>
      </c>
      <c r="U37" s="4">
        <f t="shared" ca="1" si="22"/>
        <v>2.1</v>
      </c>
      <c r="V37" s="5">
        <f t="shared" si="25"/>
        <v>0</v>
      </c>
      <c r="W37" s="6">
        <f t="shared" si="26"/>
        <v>18.081</v>
      </c>
      <c r="X37" s="7">
        <f t="shared" si="23"/>
        <v>18.081</v>
      </c>
      <c r="Y37" s="134"/>
      <c r="Z37" s="135"/>
      <c r="AA37" s="136">
        <v>2.1</v>
      </c>
      <c r="AB37" s="136"/>
      <c r="AC37" s="136"/>
      <c r="AD37" s="136"/>
      <c r="AE37" s="136"/>
      <c r="AF37" s="136"/>
      <c r="AG37" s="136"/>
      <c r="AH37" s="136"/>
      <c r="AI37" s="136"/>
      <c r="AJ37" s="136"/>
      <c r="AK37" s="137"/>
      <c r="AL37" s="135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7"/>
      <c r="AX37" s="16"/>
      <c r="AY37" s="138">
        <v>0</v>
      </c>
      <c r="AZ37" s="8">
        <f t="shared" si="16"/>
        <v>0</v>
      </c>
      <c r="BA37" s="139">
        <v>0</v>
      </c>
      <c r="BB37" s="9" t="e">
        <f t="shared" si="11"/>
        <v>#REF!</v>
      </c>
      <c r="BC37" s="10" t="e">
        <f t="shared" si="17"/>
        <v>#REF!</v>
      </c>
      <c r="BD37" s="11" t="e">
        <f t="shared" si="12"/>
        <v>#REF!</v>
      </c>
      <c r="BF37" s="701" t="e">
        <f t="shared" si="18"/>
        <v>#REF!</v>
      </c>
      <c r="BG37" s="702"/>
      <c r="BH37" s="12" t="e">
        <f t="shared" si="19"/>
        <v>#REF!</v>
      </c>
      <c r="BI37" s="703" t="e">
        <f t="shared" si="20"/>
        <v>#REF!</v>
      </c>
      <c r="BJ37" s="704"/>
      <c r="BK37" s="705" t="e">
        <f>IF(BR37&gt;0,CHOOSE(MATCH(RegimeExecucao,{"Unitário","Global"},0),IF($A37="S",BR37/BN37,""),(BR37/BN37)*100),"")</f>
        <v>#REF!</v>
      </c>
      <c r="BL37" s="706"/>
      <c r="BM37" s="707"/>
      <c r="BN37" s="708" t="e">
        <f>IF(BR37&gt;0,CHOOSE(MATCH(RegimeExecucao,{"Unitário","Global"},0),IF($A37="S",ROUND(P37,arredunit),""),ROUND(R37,arredtot)),"")</f>
        <v>#REF!</v>
      </c>
      <c r="BO37" s="709"/>
      <c r="BP37" s="709"/>
      <c r="BQ37" s="710"/>
      <c r="BR37" s="708" t="e">
        <f t="shared" si="1"/>
        <v>#REF!</v>
      </c>
      <c r="BS37" s="709"/>
      <c r="BT37" s="709"/>
      <c r="BU37" s="710"/>
      <c r="BV37" s="711"/>
      <c r="BW37" s="711"/>
      <c r="BX37" s="711"/>
      <c r="BY37" s="711"/>
      <c r="BZ37" s="711"/>
      <c r="CA37" s="712"/>
      <c r="CB37" s="16"/>
      <c r="CC37" s="16"/>
    </row>
    <row r="38" spans="1:81" ht="66">
      <c r="A38" s="59" t="str">
        <f t="shared" si="13"/>
        <v>S</v>
      </c>
      <c r="B38" s="59">
        <f t="shared" si="14"/>
        <v>0</v>
      </c>
      <c r="C38" s="59">
        <f t="shared" ca="1" si="2"/>
        <v>5</v>
      </c>
      <c r="D38" s="59">
        <f t="shared" ca="1" si="3"/>
        <v>0</v>
      </c>
      <c r="E38" s="59">
        <f t="shared" ca="1" si="4"/>
        <v>0</v>
      </c>
      <c r="F38" s="59">
        <f t="shared" ca="1" si="5"/>
        <v>0</v>
      </c>
      <c r="G38" s="59">
        <f t="shared" ca="1" si="6"/>
        <v>5</v>
      </c>
      <c r="H38" s="59">
        <f t="shared" ca="1" si="7"/>
        <v>0</v>
      </c>
      <c r="I38" s="59">
        <f t="shared" ca="1" si="8"/>
        <v>0</v>
      </c>
      <c r="J38" s="59">
        <f t="shared" si="9"/>
        <v>1</v>
      </c>
      <c r="K38" s="127" t="s">
        <v>4</v>
      </c>
      <c r="L38" s="165" t="s">
        <v>91</v>
      </c>
      <c r="M38" s="129" t="s">
        <v>92</v>
      </c>
      <c r="N38" s="130" t="s">
        <v>93</v>
      </c>
      <c r="O38" s="131">
        <v>1</v>
      </c>
      <c r="P38" s="132">
        <v>865.73</v>
      </c>
      <c r="Q38" s="133">
        <f t="shared" si="15"/>
        <v>0</v>
      </c>
      <c r="R38" s="1">
        <f t="shared" si="21"/>
        <v>865.73</v>
      </c>
      <c r="S38" s="2">
        <f t="shared" ca="1" si="10"/>
        <v>0</v>
      </c>
      <c r="T38" s="3">
        <v>1</v>
      </c>
      <c r="U38" s="4">
        <f t="shared" ca="1" si="22"/>
        <v>1</v>
      </c>
      <c r="V38" s="5">
        <f t="shared" si="25"/>
        <v>0</v>
      </c>
      <c r="W38" s="6">
        <f>IF(O38-AA38&gt;0.01,AA38*P38,R38)+0.01</f>
        <v>865.74</v>
      </c>
      <c r="X38" s="7">
        <f t="shared" si="23"/>
        <v>865.74</v>
      </c>
      <c r="Y38" s="134"/>
      <c r="Z38" s="135"/>
      <c r="AA38" s="136">
        <v>1</v>
      </c>
      <c r="AB38" s="136"/>
      <c r="AC38" s="136"/>
      <c r="AD38" s="136"/>
      <c r="AE38" s="136"/>
      <c r="AF38" s="136"/>
      <c r="AG38" s="136"/>
      <c r="AH38" s="136"/>
      <c r="AI38" s="136"/>
      <c r="AJ38" s="136"/>
      <c r="AK38" s="137"/>
      <c r="AL38" s="135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7"/>
      <c r="AX38" s="16"/>
      <c r="AY38" s="138">
        <v>0</v>
      </c>
      <c r="AZ38" s="8">
        <f t="shared" si="16"/>
        <v>0</v>
      </c>
      <c r="BA38" s="139">
        <v>0</v>
      </c>
      <c r="BB38" s="9" t="e">
        <f t="shared" si="11"/>
        <v>#REF!</v>
      </c>
      <c r="BC38" s="10" t="e">
        <f t="shared" si="17"/>
        <v>#REF!</v>
      </c>
      <c r="BD38" s="11" t="e">
        <f t="shared" si="12"/>
        <v>#REF!</v>
      </c>
      <c r="BF38" s="701" t="e">
        <f t="shared" si="18"/>
        <v>#REF!</v>
      </c>
      <c r="BG38" s="702"/>
      <c r="BH38" s="12" t="e">
        <f t="shared" si="19"/>
        <v>#REF!</v>
      </c>
      <c r="BI38" s="703" t="e">
        <f t="shared" si="20"/>
        <v>#REF!</v>
      </c>
      <c r="BJ38" s="704"/>
      <c r="BK38" s="705" t="e">
        <f>IF(BR38&gt;0,CHOOSE(MATCH(RegimeExecucao,{"Unitário","Global"},0),IF($A38="S",BR38/BN38,""),(BR38/BN38)*100),"")</f>
        <v>#REF!</v>
      </c>
      <c r="BL38" s="706"/>
      <c r="BM38" s="707"/>
      <c r="BN38" s="708" t="e">
        <f>IF(BR38&gt;0,CHOOSE(MATCH(RegimeExecucao,{"Unitário","Global"},0),IF($A38="S",ROUND(P38,arredunit),""),ROUND(R38,arredtot)),"")</f>
        <v>#REF!</v>
      </c>
      <c r="BO38" s="709"/>
      <c r="BP38" s="709"/>
      <c r="BQ38" s="710"/>
      <c r="BR38" s="708" t="e">
        <f t="shared" si="1"/>
        <v>#REF!</v>
      </c>
      <c r="BS38" s="709"/>
      <c r="BT38" s="709"/>
      <c r="BU38" s="710"/>
      <c r="BV38" s="711"/>
      <c r="BW38" s="711"/>
      <c r="BX38" s="711"/>
      <c r="BY38" s="711"/>
      <c r="BZ38" s="711"/>
      <c r="CA38" s="712"/>
      <c r="CB38" s="16"/>
      <c r="CC38" s="16"/>
    </row>
    <row r="39" spans="1:81">
      <c r="A39" s="59">
        <f t="shared" si="13"/>
        <v>1</v>
      </c>
      <c r="B39" s="59">
        <f t="shared" ca="1" si="14"/>
        <v>4</v>
      </c>
      <c r="C39" s="59">
        <f t="shared" ca="1" si="2"/>
        <v>6</v>
      </c>
      <c r="D39" s="59">
        <f t="shared" ca="1" si="3"/>
        <v>0</v>
      </c>
      <c r="E39" s="59">
        <f t="shared" ca="1" si="4"/>
        <v>0</v>
      </c>
      <c r="F39" s="59">
        <f t="shared" ca="1" si="5"/>
        <v>0</v>
      </c>
      <c r="G39" s="59">
        <f t="shared" ca="1" si="6"/>
        <v>0</v>
      </c>
      <c r="H39" s="59">
        <f t="shared" ca="1" si="7"/>
        <v>50</v>
      </c>
      <c r="I39" s="59">
        <f t="shared" ca="1" si="8"/>
        <v>4</v>
      </c>
      <c r="J39" s="59">
        <f t="shared" si="9"/>
        <v>0</v>
      </c>
      <c r="K39" s="127" t="str">
        <f>CHOOSE(1+LOG(1+2*($J39=3)+4*($J39=2)+8*($J39=1)+16*(AND($L39&lt;&gt;"",$L39&lt;&gt;0,$J39=0))+32*OR($N39&lt;&gt;"",RegimeExecucao="Global",AND($L39="",$M39="",$N39="")),2),"","Nível 4","Nível 3","Nível 2","Meta","Serviço")</f>
        <v>Meta</v>
      </c>
      <c r="L39" s="128">
        <v>6</v>
      </c>
      <c r="M39" s="129" t="s">
        <v>94</v>
      </c>
      <c r="N39" s="130"/>
      <c r="O39" s="131"/>
      <c r="P39" s="132"/>
      <c r="Q39" s="133">
        <f t="shared" si="15"/>
        <v>1464.84</v>
      </c>
      <c r="R39" s="1">
        <f>SUM(R40:R42)</f>
        <v>1464.84</v>
      </c>
      <c r="S39" s="2">
        <f t="shared" ca="1" si="10"/>
        <v>0</v>
      </c>
      <c r="T39" s="3">
        <f t="shared" si="24"/>
        <v>0</v>
      </c>
      <c r="U39" s="4">
        <f t="shared" ca="1" si="22"/>
        <v>0</v>
      </c>
      <c r="V39" s="1">
        <f>SUM(V40:V42)</f>
        <v>1464.84</v>
      </c>
      <c r="W39" s="1">
        <f>SUM(W40:W42)</f>
        <v>0</v>
      </c>
      <c r="X39" s="7">
        <f t="shared" si="23"/>
        <v>1464.84</v>
      </c>
      <c r="Y39" s="134"/>
      <c r="Z39" s="135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7"/>
      <c r="AL39" s="135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7"/>
      <c r="AX39" s="16"/>
      <c r="AY39" s="138">
        <v>0</v>
      </c>
      <c r="AZ39" s="8">
        <f t="shared" si="16"/>
        <v>0</v>
      </c>
      <c r="BA39" s="139">
        <v>0</v>
      </c>
      <c r="BB39" s="9" t="e">
        <f t="shared" ca="1" si="11"/>
        <v>#REF!</v>
      </c>
      <c r="BC39" s="10" t="e">
        <f t="shared" ca="1" si="17"/>
        <v>#REF!</v>
      </c>
      <c r="BD39" s="11" t="e">
        <f t="shared" ca="1" si="12"/>
        <v>#REF!</v>
      </c>
      <c r="BF39" s="701" t="e">
        <f t="shared" ca="1" si="18"/>
        <v>#REF!</v>
      </c>
      <c r="BG39" s="702"/>
      <c r="BH39" s="12" t="e">
        <f t="shared" ca="1" si="19"/>
        <v>#REF!</v>
      </c>
      <c r="BI39" s="703" t="e">
        <f t="shared" ca="1" si="20"/>
        <v>#REF!</v>
      </c>
      <c r="BJ39" s="704"/>
      <c r="BK39" s="705" t="e">
        <f ca="1">IF(BR39&gt;0,CHOOSE(MATCH(RegimeExecucao,{"Unitário","Global"},0),IF($A39="S",BR39/BN39,""),(BR39/BN39)*100),"")</f>
        <v>#REF!</v>
      </c>
      <c r="BL39" s="706"/>
      <c r="BM39" s="707"/>
      <c r="BN39" s="708" t="e">
        <f ca="1">IF(BR39&gt;0,CHOOSE(MATCH(RegimeExecucao,{"Unitário","Global"},0),IF($A39="S",ROUND(P39,arredunit),""),ROUND(R39,arredtot)),"")</f>
        <v>#REF!</v>
      </c>
      <c r="BO39" s="709"/>
      <c r="BP39" s="709"/>
      <c r="BQ39" s="710"/>
      <c r="BR39" s="708" t="e">
        <f t="shared" ca="1" si="1"/>
        <v>#REF!</v>
      </c>
      <c r="BS39" s="709"/>
      <c r="BT39" s="709"/>
      <c r="BU39" s="710"/>
      <c r="BV39" s="711"/>
      <c r="BW39" s="711"/>
      <c r="BX39" s="711"/>
      <c r="BY39" s="711"/>
      <c r="BZ39" s="711"/>
      <c r="CA39" s="712"/>
      <c r="CB39" s="16"/>
      <c r="CC39" s="16"/>
    </row>
    <row r="40" spans="1:81">
      <c r="A40" s="59" t="str">
        <f t="shared" si="13"/>
        <v>S</v>
      </c>
      <c r="B40" s="59">
        <f t="shared" si="14"/>
        <v>0</v>
      </c>
      <c r="C40" s="59">
        <f t="shared" ca="1" si="2"/>
        <v>6</v>
      </c>
      <c r="D40" s="59">
        <f t="shared" ca="1" si="3"/>
        <v>0</v>
      </c>
      <c r="E40" s="59">
        <f t="shared" ca="1" si="4"/>
        <v>0</v>
      </c>
      <c r="F40" s="59">
        <f t="shared" ca="1" si="5"/>
        <v>0</v>
      </c>
      <c r="G40" s="59">
        <f t="shared" ca="1" si="6"/>
        <v>1</v>
      </c>
      <c r="H40" s="59">
        <f t="shared" ca="1" si="7"/>
        <v>0</v>
      </c>
      <c r="I40" s="59">
        <f t="shared" ca="1" si="8"/>
        <v>0</v>
      </c>
      <c r="J40" s="59">
        <f t="shared" si="9"/>
        <v>1</v>
      </c>
      <c r="K40" s="127" t="s">
        <v>4</v>
      </c>
      <c r="L40" s="165" t="s">
        <v>95</v>
      </c>
      <c r="M40" s="129" t="s">
        <v>96</v>
      </c>
      <c r="N40" s="130" t="s">
        <v>43</v>
      </c>
      <c r="O40" s="131">
        <v>9.3027888446215155</v>
      </c>
      <c r="P40" s="132">
        <v>10.039999999999999</v>
      </c>
      <c r="Q40" s="133">
        <f t="shared" si="15"/>
        <v>0</v>
      </c>
      <c r="R40" s="1">
        <f t="shared" si="21"/>
        <v>93.4</v>
      </c>
      <c r="S40" s="2">
        <v>9.3000000000000007</v>
      </c>
      <c r="T40" s="3"/>
      <c r="U40" s="4">
        <f t="shared" si="22"/>
        <v>9.3000000000000007</v>
      </c>
      <c r="V40" s="5">
        <f t="shared" si="25"/>
        <v>93.4</v>
      </c>
      <c r="W40" s="6">
        <f t="shared" si="26"/>
        <v>0</v>
      </c>
      <c r="X40" s="7">
        <f t="shared" si="23"/>
        <v>93.4</v>
      </c>
      <c r="Y40" s="134"/>
      <c r="Z40" s="135">
        <v>9.3000000000000007</v>
      </c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7"/>
      <c r="AL40" s="135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7"/>
      <c r="AX40" s="16"/>
      <c r="AY40" s="138">
        <v>0</v>
      </c>
      <c r="AZ40" s="8">
        <f t="shared" si="16"/>
        <v>0</v>
      </c>
      <c r="BA40" s="139">
        <v>0</v>
      </c>
      <c r="BB40" s="9" t="e">
        <f t="shared" si="11"/>
        <v>#REF!</v>
      </c>
      <c r="BC40" s="10" t="e">
        <f t="shared" si="17"/>
        <v>#REF!</v>
      </c>
      <c r="BD40" s="11" t="e">
        <f t="shared" si="12"/>
        <v>#REF!</v>
      </c>
      <c r="BF40" s="701" t="e">
        <f t="shared" si="18"/>
        <v>#REF!</v>
      </c>
      <c r="BG40" s="702"/>
      <c r="BH40" s="12" t="e">
        <f t="shared" si="19"/>
        <v>#REF!</v>
      </c>
      <c r="BI40" s="703" t="e">
        <f t="shared" si="20"/>
        <v>#REF!</v>
      </c>
      <c r="BJ40" s="704"/>
      <c r="BK40" s="705" t="e">
        <f>IF(BR40&gt;0,CHOOSE(MATCH(RegimeExecucao,{"Unitário","Global"},0),IF($A40="S",BR40/BN40,""),(BR40/BN40)*100),"")</f>
        <v>#REF!</v>
      </c>
      <c r="BL40" s="706"/>
      <c r="BM40" s="707"/>
      <c r="BN40" s="708" t="e">
        <f>IF(BR40&gt;0,CHOOSE(MATCH(RegimeExecucao,{"Unitário","Global"},0),IF($A40="S",ROUND(P40,arredunit),""),ROUND(R40,arredtot)),"")</f>
        <v>#REF!</v>
      </c>
      <c r="BO40" s="709"/>
      <c r="BP40" s="709"/>
      <c r="BQ40" s="710"/>
      <c r="BR40" s="708" t="e">
        <f t="shared" si="1"/>
        <v>#REF!</v>
      </c>
      <c r="BS40" s="709"/>
      <c r="BT40" s="709"/>
      <c r="BU40" s="710"/>
      <c r="BV40" s="711"/>
      <c r="BW40" s="711"/>
      <c r="BX40" s="711"/>
      <c r="BY40" s="711"/>
      <c r="BZ40" s="711"/>
      <c r="CA40" s="712"/>
      <c r="CB40" s="16"/>
      <c r="CC40" s="16"/>
    </row>
    <row r="41" spans="1:81" ht="26.4">
      <c r="A41" s="59" t="str">
        <f t="shared" si="13"/>
        <v>S</v>
      </c>
      <c r="B41" s="59">
        <f t="shared" si="14"/>
        <v>0</v>
      </c>
      <c r="C41" s="59">
        <f t="shared" ca="1" si="2"/>
        <v>6</v>
      </c>
      <c r="D41" s="59">
        <f t="shared" ca="1" si="3"/>
        <v>0</v>
      </c>
      <c r="E41" s="59">
        <f t="shared" ca="1" si="4"/>
        <v>0</v>
      </c>
      <c r="F41" s="59">
        <f t="shared" ca="1" si="5"/>
        <v>0</v>
      </c>
      <c r="G41" s="59">
        <f t="shared" ca="1" si="6"/>
        <v>2</v>
      </c>
      <c r="H41" s="59">
        <f t="shared" ca="1" si="7"/>
        <v>0</v>
      </c>
      <c r="I41" s="59">
        <f t="shared" ca="1" si="8"/>
        <v>0</v>
      </c>
      <c r="J41" s="59">
        <f t="shared" si="9"/>
        <v>1</v>
      </c>
      <c r="K41" s="127" t="s">
        <v>4</v>
      </c>
      <c r="L41" s="165" t="s">
        <v>97</v>
      </c>
      <c r="M41" s="129" t="s">
        <v>98</v>
      </c>
      <c r="N41" s="130" t="s">
        <v>43</v>
      </c>
      <c r="O41" s="131">
        <v>9.2996483435128621</v>
      </c>
      <c r="P41" s="132">
        <v>108.06</v>
      </c>
      <c r="Q41" s="133">
        <f t="shared" si="15"/>
        <v>0</v>
      </c>
      <c r="R41" s="1">
        <f t="shared" si="21"/>
        <v>1004.9199999999998</v>
      </c>
      <c r="S41" s="2">
        <v>9.3000000000000007</v>
      </c>
      <c r="T41" s="3"/>
      <c r="U41" s="4">
        <f t="shared" si="22"/>
        <v>9.3000000000000007</v>
      </c>
      <c r="V41" s="5">
        <f t="shared" si="25"/>
        <v>1004.9199999999998</v>
      </c>
      <c r="W41" s="6">
        <f t="shared" si="26"/>
        <v>0</v>
      </c>
      <c r="X41" s="7">
        <f t="shared" si="23"/>
        <v>1004.9199999999998</v>
      </c>
      <c r="Y41" s="134"/>
      <c r="Z41" s="135">
        <v>9.3000000000000007</v>
      </c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7"/>
      <c r="AL41" s="135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7"/>
      <c r="AX41" s="16"/>
      <c r="AY41" s="138">
        <v>0</v>
      </c>
      <c r="AZ41" s="8">
        <f t="shared" si="16"/>
        <v>0</v>
      </c>
      <c r="BA41" s="139">
        <v>0</v>
      </c>
      <c r="BB41" s="9" t="e">
        <f t="shared" si="11"/>
        <v>#REF!</v>
      </c>
      <c r="BC41" s="10" t="e">
        <f t="shared" si="17"/>
        <v>#REF!</v>
      </c>
      <c r="BD41" s="11" t="e">
        <f t="shared" si="12"/>
        <v>#REF!</v>
      </c>
      <c r="BF41" s="701" t="e">
        <f t="shared" si="18"/>
        <v>#REF!</v>
      </c>
      <c r="BG41" s="702"/>
      <c r="BH41" s="12" t="e">
        <f t="shared" si="19"/>
        <v>#REF!</v>
      </c>
      <c r="BI41" s="703" t="e">
        <f t="shared" si="20"/>
        <v>#REF!</v>
      </c>
      <c r="BJ41" s="704"/>
      <c r="BK41" s="705" t="e">
        <f>IF(BR41&gt;0,CHOOSE(MATCH(RegimeExecucao,{"Unitário","Global"},0),IF($A41="S",BR41/BN41,""),(BR41/BN41)*100),"")</f>
        <v>#REF!</v>
      </c>
      <c r="BL41" s="706"/>
      <c r="BM41" s="707"/>
      <c r="BN41" s="708" t="e">
        <f>IF(BR41&gt;0,CHOOSE(MATCH(RegimeExecucao,{"Unitário","Global"},0),IF($A41="S",ROUND(P41,arredunit),""),ROUND(R41,arredtot)),"")</f>
        <v>#REF!</v>
      </c>
      <c r="BO41" s="709"/>
      <c r="BP41" s="709"/>
      <c r="BQ41" s="710"/>
      <c r="BR41" s="708" t="e">
        <f t="shared" si="1"/>
        <v>#REF!</v>
      </c>
      <c r="BS41" s="709"/>
      <c r="BT41" s="709"/>
      <c r="BU41" s="710"/>
      <c r="BV41" s="711"/>
      <c r="BW41" s="711"/>
      <c r="BX41" s="711"/>
      <c r="BY41" s="711"/>
      <c r="BZ41" s="711"/>
      <c r="CA41" s="712"/>
      <c r="CB41" s="16"/>
      <c r="CC41" s="16"/>
    </row>
    <row r="42" spans="1:81" ht="26.4">
      <c r="A42" s="59" t="str">
        <f t="shared" si="13"/>
        <v>S</v>
      </c>
      <c r="B42" s="59">
        <f t="shared" si="14"/>
        <v>0</v>
      </c>
      <c r="C42" s="59">
        <f t="shared" ca="1" si="2"/>
        <v>6</v>
      </c>
      <c r="D42" s="59">
        <f t="shared" ca="1" si="3"/>
        <v>0</v>
      </c>
      <c r="E42" s="59">
        <f t="shared" ca="1" si="4"/>
        <v>0</v>
      </c>
      <c r="F42" s="59">
        <f t="shared" ca="1" si="5"/>
        <v>0</v>
      </c>
      <c r="G42" s="59">
        <f t="shared" ca="1" si="6"/>
        <v>3</v>
      </c>
      <c r="H42" s="59">
        <f t="shared" ca="1" si="7"/>
        <v>0</v>
      </c>
      <c r="I42" s="59">
        <f t="shared" ca="1" si="8"/>
        <v>0</v>
      </c>
      <c r="J42" s="59">
        <f t="shared" si="9"/>
        <v>1</v>
      </c>
      <c r="K42" s="127" t="s">
        <v>4</v>
      </c>
      <c r="L42" s="165" t="s">
        <v>99</v>
      </c>
      <c r="M42" s="129" t="s">
        <v>100</v>
      </c>
      <c r="N42" s="130" t="s">
        <v>59</v>
      </c>
      <c r="O42" s="131">
        <v>12.399188092016239</v>
      </c>
      <c r="P42" s="132">
        <v>29.56</v>
      </c>
      <c r="Q42" s="133">
        <f t="shared" si="15"/>
        <v>0</v>
      </c>
      <c r="R42" s="1">
        <f t="shared" si="21"/>
        <v>366.52</v>
      </c>
      <c r="S42" s="2">
        <v>12.4</v>
      </c>
      <c r="T42" s="3"/>
      <c r="U42" s="4">
        <f t="shared" si="22"/>
        <v>12.4</v>
      </c>
      <c r="V42" s="5">
        <f t="shared" si="25"/>
        <v>366.52</v>
      </c>
      <c r="W42" s="6">
        <f t="shared" si="26"/>
        <v>0</v>
      </c>
      <c r="X42" s="7">
        <f t="shared" si="23"/>
        <v>366.52</v>
      </c>
      <c r="Y42" s="134"/>
      <c r="Z42" s="135">
        <v>12.4</v>
      </c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7"/>
      <c r="AL42" s="135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7"/>
      <c r="AX42" s="16"/>
      <c r="AY42" s="138">
        <v>0</v>
      </c>
      <c r="AZ42" s="8">
        <f t="shared" si="16"/>
        <v>0</v>
      </c>
      <c r="BA42" s="139">
        <v>0</v>
      </c>
      <c r="BB42" s="9" t="e">
        <f t="shared" si="11"/>
        <v>#REF!</v>
      </c>
      <c r="BC42" s="10" t="e">
        <f t="shared" si="17"/>
        <v>#REF!</v>
      </c>
      <c r="BD42" s="11" t="e">
        <f t="shared" si="12"/>
        <v>#REF!</v>
      </c>
      <c r="BF42" s="701" t="e">
        <f t="shared" si="18"/>
        <v>#REF!</v>
      </c>
      <c r="BG42" s="702"/>
      <c r="BH42" s="12" t="e">
        <f t="shared" si="19"/>
        <v>#REF!</v>
      </c>
      <c r="BI42" s="703" t="e">
        <f t="shared" si="20"/>
        <v>#REF!</v>
      </c>
      <c r="BJ42" s="704"/>
      <c r="BK42" s="705" t="e">
        <f>IF(BR42&gt;0,CHOOSE(MATCH(RegimeExecucao,{"Unitário","Global"},0),IF($A42="S",BR42/BN42,""),(BR42/BN42)*100),"")</f>
        <v>#REF!</v>
      </c>
      <c r="BL42" s="706"/>
      <c r="BM42" s="707"/>
      <c r="BN42" s="708" t="e">
        <f>IF(BR42&gt;0,CHOOSE(MATCH(RegimeExecucao,{"Unitário","Global"},0),IF($A42="S",ROUND(P42,arredunit),""),ROUND(R42,arredtot)),"")</f>
        <v>#REF!</v>
      </c>
      <c r="BO42" s="709"/>
      <c r="BP42" s="709"/>
      <c r="BQ42" s="710"/>
      <c r="BR42" s="708" t="e">
        <f t="shared" si="1"/>
        <v>#REF!</v>
      </c>
      <c r="BS42" s="709"/>
      <c r="BT42" s="709"/>
      <c r="BU42" s="710"/>
      <c r="BV42" s="711"/>
      <c r="BW42" s="711"/>
      <c r="BX42" s="711"/>
      <c r="BY42" s="711"/>
      <c r="BZ42" s="711"/>
      <c r="CA42" s="712"/>
      <c r="CB42" s="16"/>
      <c r="CC42" s="16"/>
    </row>
    <row r="43" spans="1:81">
      <c r="A43" s="59">
        <f t="shared" si="13"/>
        <v>1</v>
      </c>
      <c r="B43" s="59">
        <f t="shared" ca="1" si="14"/>
        <v>8</v>
      </c>
      <c r="C43" s="59">
        <f t="shared" ca="1" si="2"/>
        <v>7</v>
      </c>
      <c r="D43" s="59">
        <f t="shared" ca="1" si="3"/>
        <v>0</v>
      </c>
      <c r="E43" s="59">
        <f t="shared" ca="1" si="4"/>
        <v>0</v>
      </c>
      <c r="F43" s="59">
        <f t="shared" ca="1" si="5"/>
        <v>0</v>
      </c>
      <c r="G43" s="59">
        <f t="shared" ca="1" si="6"/>
        <v>0</v>
      </c>
      <c r="H43" s="59">
        <f t="shared" ca="1" si="7"/>
        <v>46</v>
      </c>
      <c r="I43" s="59">
        <f t="shared" ca="1" si="8"/>
        <v>8</v>
      </c>
      <c r="J43" s="59">
        <f t="shared" si="9"/>
        <v>0</v>
      </c>
      <c r="K43" s="127" t="str">
        <f>CHOOSE(1+LOG(1+2*($J43=3)+4*($J43=2)+8*($J43=1)+16*(AND($L43&lt;&gt;"",$L43&lt;&gt;0,$J43=0))+32*OR($N43&lt;&gt;"",RegimeExecucao="Global",AND($L43="",$M43="",$N43="")),2),"","Nível 4","Nível 3","Nível 2","Meta","Serviço")</f>
        <v>Meta</v>
      </c>
      <c r="L43" s="128">
        <v>7</v>
      </c>
      <c r="M43" s="129" t="s">
        <v>101</v>
      </c>
      <c r="N43" s="130"/>
      <c r="O43" s="131"/>
      <c r="P43" s="132"/>
      <c r="Q43" s="133">
        <f t="shared" si="15"/>
        <v>5837.2699999999995</v>
      </c>
      <c r="R43" s="1">
        <f>R44</f>
        <v>5837.2699999999995</v>
      </c>
      <c r="S43" s="2">
        <f t="shared" ca="1" si="10"/>
        <v>0</v>
      </c>
      <c r="T43" s="3">
        <f t="shared" si="24"/>
        <v>0</v>
      </c>
      <c r="U43" s="4">
        <f t="shared" ca="1" si="22"/>
        <v>0</v>
      </c>
      <c r="V43" s="1">
        <f>V44</f>
        <v>11.78</v>
      </c>
      <c r="W43" s="1">
        <f>W44</f>
        <v>1852.36</v>
      </c>
      <c r="X43" s="7">
        <f t="shared" si="23"/>
        <v>1864.1399999999999</v>
      </c>
      <c r="Y43" s="134"/>
      <c r="Z43" s="135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7"/>
      <c r="AL43" s="135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7"/>
      <c r="AX43" s="16"/>
      <c r="AY43" s="138">
        <v>0</v>
      </c>
      <c r="AZ43" s="8">
        <f t="shared" si="16"/>
        <v>0</v>
      </c>
      <c r="BA43" s="139">
        <v>0</v>
      </c>
      <c r="BB43" s="9" t="e">
        <f t="shared" ca="1" si="11"/>
        <v>#REF!</v>
      </c>
      <c r="BC43" s="10" t="e">
        <f t="shared" ca="1" si="17"/>
        <v>#REF!</v>
      </c>
      <c r="BD43" s="11" t="e">
        <f t="shared" ca="1" si="12"/>
        <v>#REF!</v>
      </c>
      <c r="BF43" s="701" t="e">
        <f t="shared" ca="1" si="18"/>
        <v>#REF!</v>
      </c>
      <c r="BG43" s="702"/>
      <c r="BH43" s="12" t="e">
        <f t="shared" ca="1" si="19"/>
        <v>#REF!</v>
      </c>
      <c r="BI43" s="703" t="e">
        <f t="shared" ca="1" si="20"/>
        <v>#REF!</v>
      </c>
      <c r="BJ43" s="704"/>
      <c r="BK43" s="705" t="e">
        <f ca="1">IF(BR43&gt;0,CHOOSE(MATCH(RegimeExecucao,{"Unitário","Global"},0),IF($A43="S",BR43/BN43,""),(BR43/BN43)*100),"")</f>
        <v>#REF!</v>
      </c>
      <c r="BL43" s="706"/>
      <c r="BM43" s="707"/>
      <c r="BN43" s="708" t="e">
        <f ca="1">IF(BR43&gt;0,CHOOSE(MATCH(RegimeExecucao,{"Unitário","Global"},0),IF($A43="S",ROUND(P43,arredunit),""),ROUND(R43,arredtot)),"")</f>
        <v>#REF!</v>
      </c>
      <c r="BO43" s="709"/>
      <c r="BP43" s="709"/>
      <c r="BQ43" s="710"/>
      <c r="BR43" s="708" t="e">
        <f t="shared" ca="1" si="1"/>
        <v>#REF!</v>
      </c>
      <c r="BS43" s="709"/>
      <c r="BT43" s="709"/>
      <c r="BU43" s="710"/>
      <c r="BV43" s="711"/>
      <c r="BW43" s="711"/>
      <c r="BX43" s="711"/>
      <c r="BY43" s="711"/>
      <c r="BZ43" s="711"/>
      <c r="CA43" s="712"/>
      <c r="CB43" s="16"/>
      <c r="CC43" s="16"/>
    </row>
    <row r="44" spans="1:81">
      <c r="A44" s="59">
        <f t="shared" si="13"/>
        <v>2</v>
      </c>
      <c r="B44" s="59">
        <f t="shared" ca="1" si="14"/>
        <v>7</v>
      </c>
      <c r="C44" s="59">
        <f t="shared" ca="1" si="2"/>
        <v>7</v>
      </c>
      <c r="D44" s="59">
        <f t="shared" ca="1" si="3"/>
        <v>1</v>
      </c>
      <c r="E44" s="59">
        <f t="shared" ca="1" si="4"/>
        <v>0</v>
      </c>
      <c r="F44" s="59">
        <f t="shared" ca="1" si="5"/>
        <v>0</v>
      </c>
      <c r="G44" s="59">
        <f t="shared" ca="1" si="6"/>
        <v>0</v>
      </c>
      <c r="H44" s="59">
        <f t="shared" ca="1" si="7"/>
        <v>7</v>
      </c>
      <c r="I44" s="59">
        <f t="shared" ca="1" si="8"/>
        <v>11</v>
      </c>
      <c r="J44" s="59">
        <f t="shared" si="9"/>
        <v>1</v>
      </c>
      <c r="K44" s="127" t="str">
        <f>CHOOSE(1+LOG(1+2*($J44=3)+4*($J44=2)+8*($J44=1)+16*(AND($L44&lt;&gt;"",$L44&lt;&gt;0,$J44=0))+32*OR($N44&lt;&gt;"",RegimeExecucao="Global",AND($L44="",$M44="",$N44="")),2),"","Nível 4","Nível 3","Nível 2","Meta","Serviço")</f>
        <v>Nível 2</v>
      </c>
      <c r="L44" s="165" t="s">
        <v>102</v>
      </c>
      <c r="M44" s="129" t="s">
        <v>103</v>
      </c>
      <c r="N44" s="130"/>
      <c r="O44" s="131"/>
      <c r="P44" s="132"/>
      <c r="Q44" s="133">
        <f t="shared" si="15"/>
        <v>5837.2699999999995</v>
      </c>
      <c r="R44" s="1">
        <f>SUM(R45:R50)</f>
        <v>5837.2699999999995</v>
      </c>
      <c r="S44" s="2">
        <f t="shared" ca="1" si="10"/>
        <v>0</v>
      </c>
      <c r="T44" s="3">
        <f t="shared" si="24"/>
        <v>0</v>
      </c>
      <c r="U44" s="4">
        <f t="shared" ca="1" si="22"/>
        <v>0</v>
      </c>
      <c r="V44" s="1">
        <f>SUM(V45:V50)</f>
        <v>11.78</v>
      </c>
      <c r="W44" s="1">
        <f>SUM(W45:W50)</f>
        <v>1852.36</v>
      </c>
      <c r="X44" s="7">
        <f t="shared" si="23"/>
        <v>1864.1399999999999</v>
      </c>
      <c r="Y44" s="134"/>
      <c r="Z44" s="135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7"/>
      <c r="AL44" s="135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7"/>
      <c r="AX44" s="16"/>
      <c r="AY44" s="138">
        <v>0</v>
      </c>
      <c r="AZ44" s="8">
        <f t="shared" si="16"/>
        <v>0</v>
      </c>
      <c r="BA44" s="139">
        <v>0</v>
      </c>
      <c r="BB44" s="9" t="e">
        <f t="shared" ca="1" si="11"/>
        <v>#REF!</v>
      </c>
      <c r="BC44" s="10" t="e">
        <f t="shared" ca="1" si="17"/>
        <v>#REF!</v>
      </c>
      <c r="BD44" s="11" t="e">
        <f t="shared" ca="1" si="12"/>
        <v>#REF!</v>
      </c>
      <c r="BF44" s="701" t="e">
        <f t="shared" ca="1" si="18"/>
        <v>#REF!</v>
      </c>
      <c r="BG44" s="702"/>
      <c r="BH44" s="12" t="e">
        <f t="shared" ca="1" si="19"/>
        <v>#REF!</v>
      </c>
      <c r="BI44" s="703" t="e">
        <f t="shared" ca="1" si="20"/>
        <v>#REF!</v>
      </c>
      <c r="BJ44" s="704"/>
      <c r="BK44" s="705" t="e">
        <f ca="1">IF(BR44&gt;0,CHOOSE(MATCH(RegimeExecucao,{"Unitário","Global"},0),IF($A44="S",BR44/BN44,""),(BR44/BN44)*100),"")</f>
        <v>#REF!</v>
      </c>
      <c r="BL44" s="706"/>
      <c r="BM44" s="707"/>
      <c r="BN44" s="708" t="e">
        <f ca="1">IF(BR44&gt;0,CHOOSE(MATCH(RegimeExecucao,{"Unitário","Global"},0),IF($A44="S",ROUND(P44,arredunit),""),ROUND(R44,arredtot)),"")</f>
        <v>#REF!</v>
      </c>
      <c r="BO44" s="709"/>
      <c r="BP44" s="709"/>
      <c r="BQ44" s="710"/>
      <c r="BR44" s="708" t="e">
        <f t="shared" ca="1" si="1"/>
        <v>#REF!</v>
      </c>
      <c r="BS44" s="709"/>
      <c r="BT44" s="709"/>
      <c r="BU44" s="710"/>
      <c r="BV44" s="711"/>
      <c r="BW44" s="711"/>
      <c r="BX44" s="711"/>
      <c r="BY44" s="711"/>
      <c r="BZ44" s="711"/>
      <c r="CA44" s="712"/>
      <c r="CB44" s="16"/>
      <c r="CC44" s="16"/>
    </row>
    <row r="45" spans="1:81" ht="26.4">
      <c r="A45" s="59" t="str">
        <f t="shared" si="13"/>
        <v>S</v>
      </c>
      <c r="B45" s="59">
        <f t="shared" si="14"/>
        <v>0</v>
      </c>
      <c r="C45" s="59">
        <f t="shared" ca="1" si="2"/>
        <v>7</v>
      </c>
      <c r="D45" s="59">
        <f t="shared" ca="1" si="3"/>
        <v>1</v>
      </c>
      <c r="E45" s="59">
        <f t="shared" ca="1" si="4"/>
        <v>0</v>
      </c>
      <c r="F45" s="59">
        <f t="shared" ca="1" si="5"/>
        <v>0</v>
      </c>
      <c r="G45" s="59">
        <f t="shared" ca="1" si="6"/>
        <v>1</v>
      </c>
      <c r="H45" s="59">
        <f t="shared" ca="1" si="7"/>
        <v>0</v>
      </c>
      <c r="I45" s="59">
        <f t="shared" ca="1" si="8"/>
        <v>0</v>
      </c>
      <c r="J45" s="59">
        <f t="shared" si="9"/>
        <v>2</v>
      </c>
      <c r="K45" s="127" t="s">
        <v>4</v>
      </c>
      <c r="L45" s="165" t="s">
        <v>104</v>
      </c>
      <c r="M45" s="129" t="s">
        <v>105</v>
      </c>
      <c r="N45" s="130" t="s">
        <v>93</v>
      </c>
      <c r="O45" s="131">
        <v>1</v>
      </c>
      <c r="P45" s="132">
        <v>623.73</v>
      </c>
      <c r="Q45" s="133">
        <f t="shared" si="15"/>
        <v>0</v>
      </c>
      <c r="R45" s="1">
        <f t="shared" si="21"/>
        <v>623.73</v>
      </c>
      <c r="S45" s="2">
        <f t="shared" ca="1" si="10"/>
        <v>0</v>
      </c>
      <c r="T45" s="3">
        <v>1</v>
      </c>
      <c r="U45" s="4">
        <f t="shared" ca="1" si="22"/>
        <v>1</v>
      </c>
      <c r="V45" s="5">
        <f t="shared" si="25"/>
        <v>0</v>
      </c>
      <c r="W45" s="6">
        <f t="shared" si="26"/>
        <v>623.73</v>
      </c>
      <c r="X45" s="7">
        <f t="shared" si="23"/>
        <v>623.73</v>
      </c>
      <c r="Y45" s="134"/>
      <c r="Z45" s="135"/>
      <c r="AA45" s="136">
        <v>1</v>
      </c>
      <c r="AB45" s="136"/>
      <c r="AC45" s="136"/>
      <c r="AD45" s="136"/>
      <c r="AE45" s="136"/>
      <c r="AF45" s="136"/>
      <c r="AG45" s="136"/>
      <c r="AH45" s="136"/>
      <c r="AI45" s="136"/>
      <c r="AJ45" s="136"/>
      <c r="AK45" s="137"/>
      <c r="AL45" s="135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7"/>
      <c r="AX45" s="16"/>
      <c r="AY45" s="138">
        <v>0</v>
      </c>
      <c r="AZ45" s="8">
        <f t="shared" si="16"/>
        <v>0</v>
      </c>
      <c r="BA45" s="139">
        <v>0</v>
      </c>
      <c r="BB45" s="9" t="e">
        <f t="shared" si="11"/>
        <v>#REF!</v>
      </c>
      <c r="BC45" s="10" t="e">
        <f t="shared" si="17"/>
        <v>#REF!</v>
      </c>
      <c r="BD45" s="11" t="e">
        <f t="shared" si="12"/>
        <v>#REF!</v>
      </c>
      <c r="BF45" s="701" t="e">
        <f t="shared" si="18"/>
        <v>#REF!</v>
      </c>
      <c r="BG45" s="702"/>
      <c r="BH45" s="12" t="e">
        <f t="shared" si="19"/>
        <v>#REF!</v>
      </c>
      <c r="BI45" s="703" t="e">
        <f t="shared" si="20"/>
        <v>#REF!</v>
      </c>
      <c r="BJ45" s="704"/>
      <c r="BK45" s="705" t="e">
        <f>IF(BR45&gt;0,CHOOSE(MATCH(RegimeExecucao,{"Unitário","Global"},0),IF($A45="S",BR45/BN45,""),(BR45/BN45)*100),"")</f>
        <v>#REF!</v>
      </c>
      <c r="BL45" s="706"/>
      <c r="BM45" s="707"/>
      <c r="BN45" s="708" t="e">
        <f>IF(BR45&gt;0,CHOOSE(MATCH(RegimeExecucao,{"Unitário","Global"},0),IF($A45="S",ROUND(P45,arredunit),""),ROUND(R45,arredtot)),"")</f>
        <v>#REF!</v>
      </c>
      <c r="BO45" s="709"/>
      <c r="BP45" s="709"/>
      <c r="BQ45" s="710"/>
      <c r="BR45" s="708" t="e">
        <f t="shared" si="1"/>
        <v>#REF!</v>
      </c>
      <c r="BS45" s="709"/>
      <c r="BT45" s="709"/>
      <c r="BU45" s="710"/>
      <c r="BV45" s="711"/>
      <c r="BW45" s="711"/>
      <c r="BX45" s="711"/>
      <c r="BY45" s="711"/>
      <c r="BZ45" s="711"/>
      <c r="CA45" s="712"/>
      <c r="CB45" s="16"/>
      <c r="CC45" s="16"/>
    </row>
    <row r="46" spans="1:81" ht="39.6">
      <c r="A46" s="59" t="str">
        <f t="shared" si="13"/>
        <v>S</v>
      </c>
      <c r="B46" s="59">
        <f t="shared" si="14"/>
        <v>0</v>
      </c>
      <c r="C46" s="59">
        <f t="shared" ca="1" si="2"/>
        <v>7</v>
      </c>
      <c r="D46" s="59">
        <f t="shared" ca="1" si="3"/>
        <v>1</v>
      </c>
      <c r="E46" s="59">
        <f t="shared" ca="1" si="4"/>
        <v>0</v>
      </c>
      <c r="F46" s="59">
        <f t="shared" ca="1" si="5"/>
        <v>0</v>
      </c>
      <c r="G46" s="59">
        <f t="shared" ca="1" si="6"/>
        <v>2</v>
      </c>
      <c r="H46" s="59">
        <f t="shared" ca="1" si="7"/>
        <v>0</v>
      </c>
      <c r="I46" s="59">
        <f t="shared" ca="1" si="8"/>
        <v>0</v>
      </c>
      <c r="J46" s="59">
        <f t="shared" si="9"/>
        <v>2</v>
      </c>
      <c r="K46" s="127" t="s">
        <v>4</v>
      </c>
      <c r="L46" s="165" t="s">
        <v>106</v>
      </c>
      <c r="M46" s="129" t="s">
        <v>107</v>
      </c>
      <c r="N46" s="130" t="s">
        <v>93</v>
      </c>
      <c r="O46" s="131">
        <v>2</v>
      </c>
      <c r="P46" s="132">
        <v>139.47999999999999</v>
      </c>
      <c r="Q46" s="133">
        <f t="shared" si="15"/>
        <v>0</v>
      </c>
      <c r="R46" s="1">
        <f t="shared" si="21"/>
        <v>278.95999999999998</v>
      </c>
      <c r="S46" s="2">
        <f t="shared" ca="1" si="10"/>
        <v>0</v>
      </c>
      <c r="T46" s="3">
        <v>2</v>
      </c>
      <c r="U46" s="4">
        <f t="shared" ca="1" si="22"/>
        <v>2</v>
      </c>
      <c r="V46" s="5">
        <f t="shared" si="25"/>
        <v>0</v>
      </c>
      <c r="W46" s="6">
        <f t="shared" si="26"/>
        <v>278.95999999999998</v>
      </c>
      <c r="X46" s="7">
        <f t="shared" si="23"/>
        <v>278.95999999999998</v>
      </c>
      <c r="Y46" s="134"/>
      <c r="Z46" s="135"/>
      <c r="AA46" s="136">
        <v>2</v>
      </c>
      <c r="AB46" s="136"/>
      <c r="AC46" s="136"/>
      <c r="AD46" s="136"/>
      <c r="AE46" s="136"/>
      <c r="AF46" s="136"/>
      <c r="AG46" s="136"/>
      <c r="AH46" s="136"/>
      <c r="AI46" s="136"/>
      <c r="AJ46" s="136"/>
      <c r="AK46" s="137"/>
      <c r="AL46" s="135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7"/>
      <c r="AX46" s="16"/>
      <c r="AY46" s="138">
        <v>0</v>
      </c>
      <c r="AZ46" s="8">
        <f t="shared" si="16"/>
        <v>0</v>
      </c>
      <c r="BA46" s="139">
        <v>0</v>
      </c>
      <c r="BB46" s="9" t="e">
        <f t="shared" si="11"/>
        <v>#REF!</v>
      </c>
      <c r="BC46" s="10" t="e">
        <f t="shared" si="17"/>
        <v>#REF!</v>
      </c>
      <c r="BD46" s="11" t="e">
        <f t="shared" si="12"/>
        <v>#REF!</v>
      </c>
      <c r="BF46" s="701" t="e">
        <f t="shared" si="18"/>
        <v>#REF!</v>
      </c>
      <c r="BG46" s="702"/>
      <c r="BH46" s="12" t="e">
        <f t="shared" si="19"/>
        <v>#REF!</v>
      </c>
      <c r="BI46" s="703" t="e">
        <f t="shared" si="20"/>
        <v>#REF!</v>
      </c>
      <c r="BJ46" s="704"/>
      <c r="BK46" s="705" t="e">
        <f>IF(BR46&gt;0,CHOOSE(MATCH(RegimeExecucao,{"Unitário","Global"},0),IF($A46="S",BR46/BN46,""),(BR46/BN46)*100),"")</f>
        <v>#REF!</v>
      </c>
      <c r="BL46" s="706"/>
      <c r="BM46" s="707"/>
      <c r="BN46" s="708" t="e">
        <f>IF(BR46&gt;0,CHOOSE(MATCH(RegimeExecucao,{"Unitário","Global"},0),IF($A46="S",ROUND(P46,arredunit),""),ROUND(R46,arredtot)),"")</f>
        <v>#REF!</v>
      </c>
      <c r="BO46" s="709"/>
      <c r="BP46" s="709"/>
      <c r="BQ46" s="710"/>
      <c r="BR46" s="708" t="e">
        <f t="shared" si="1"/>
        <v>#REF!</v>
      </c>
      <c r="BS46" s="709"/>
      <c r="BT46" s="709"/>
      <c r="BU46" s="710"/>
      <c r="BV46" s="711"/>
      <c r="BW46" s="711"/>
      <c r="BX46" s="711"/>
      <c r="BY46" s="711"/>
      <c r="BZ46" s="711"/>
      <c r="CA46" s="712"/>
      <c r="CB46" s="16"/>
      <c r="CC46" s="16"/>
    </row>
    <row r="47" spans="1:81">
      <c r="A47" s="59" t="str">
        <f t="shared" si="13"/>
        <v>S</v>
      </c>
      <c r="B47" s="59">
        <f t="shared" si="14"/>
        <v>0</v>
      </c>
      <c r="C47" s="59">
        <f t="shared" ca="1" si="2"/>
        <v>7</v>
      </c>
      <c r="D47" s="59">
        <f t="shared" ca="1" si="3"/>
        <v>1</v>
      </c>
      <c r="E47" s="59">
        <f t="shared" ca="1" si="4"/>
        <v>0</v>
      </c>
      <c r="F47" s="59">
        <f t="shared" ca="1" si="5"/>
        <v>0</v>
      </c>
      <c r="G47" s="59">
        <f t="shared" ca="1" si="6"/>
        <v>3</v>
      </c>
      <c r="H47" s="59">
        <f t="shared" ca="1" si="7"/>
        <v>0</v>
      </c>
      <c r="I47" s="59">
        <f t="shared" ca="1" si="8"/>
        <v>0</v>
      </c>
      <c r="J47" s="59">
        <f t="shared" si="9"/>
        <v>2</v>
      </c>
      <c r="K47" s="127" t="s">
        <v>4</v>
      </c>
      <c r="L47" s="165" t="s">
        <v>108</v>
      </c>
      <c r="M47" s="129" t="s">
        <v>109</v>
      </c>
      <c r="N47" s="130" t="s">
        <v>93</v>
      </c>
      <c r="O47" s="131">
        <v>1</v>
      </c>
      <c r="P47" s="132">
        <v>42.55</v>
      </c>
      <c r="Q47" s="133">
        <f t="shared" si="15"/>
        <v>0</v>
      </c>
      <c r="R47" s="1">
        <f t="shared" si="21"/>
        <v>42.55</v>
      </c>
      <c r="S47" s="2">
        <f t="shared" ca="1" si="10"/>
        <v>0</v>
      </c>
      <c r="T47" s="3">
        <v>0</v>
      </c>
      <c r="U47" s="4">
        <f t="shared" ca="1" si="22"/>
        <v>0</v>
      </c>
      <c r="V47" s="5">
        <f t="shared" si="25"/>
        <v>0</v>
      </c>
      <c r="W47" s="6">
        <f t="shared" si="26"/>
        <v>0</v>
      </c>
      <c r="X47" s="7">
        <f t="shared" si="23"/>
        <v>0</v>
      </c>
      <c r="Y47" s="134"/>
      <c r="Z47" s="135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7"/>
      <c r="AL47" s="135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7"/>
      <c r="AX47" s="16"/>
      <c r="AY47" s="138">
        <v>0</v>
      </c>
      <c r="AZ47" s="8">
        <f t="shared" si="16"/>
        <v>0</v>
      </c>
      <c r="BA47" s="139">
        <v>0</v>
      </c>
      <c r="BB47" s="9" t="e">
        <f t="shared" si="11"/>
        <v>#REF!</v>
      </c>
      <c r="BC47" s="10" t="e">
        <f t="shared" si="17"/>
        <v>#REF!</v>
      </c>
      <c r="BD47" s="11" t="e">
        <f t="shared" si="12"/>
        <v>#REF!</v>
      </c>
      <c r="BF47" s="701" t="e">
        <f t="shared" si="18"/>
        <v>#REF!</v>
      </c>
      <c r="BG47" s="702"/>
      <c r="BH47" s="12" t="e">
        <f t="shared" si="19"/>
        <v>#REF!</v>
      </c>
      <c r="BI47" s="703" t="e">
        <f t="shared" si="20"/>
        <v>#REF!</v>
      </c>
      <c r="BJ47" s="704"/>
      <c r="BK47" s="705" t="e">
        <f>IF(BR47&gt;0,CHOOSE(MATCH(RegimeExecucao,{"Unitário","Global"},0),IF($A47="S",BR47/BN47,""),(BR47/BN47)*100),"")</f>
        <v>#REF!</v>
      </c>
      <c r="BL47" s="706"/>
      <c r="BM47" s="707"/>
      <c r="BN47" s="708" t="e">
        <f>IF(BR47&gt;0,CHOOSE(MATCH(RegimeExecucao,{"Unitário","Global"},0),IF($A47="S",ROUND(P47,arredunit),""),ROUND(R47,arredtot)),"")</f>
        <v>#REF!</v>
      </c>
      <c r="BO47" s="709"/>
      <c r="BP47" s="709"/>
      <c r="BQ47" s="710"/>
      <c r="BR47" s="708" t="e">
        <f t="shared" si="1"/>
        <v>#REF!</v>
      </c>
      <c r="BS47" s="709"/>
      <c r="BT47" s="709"/>
      <c r="BU47" s="710"/>
      <c r="BV47" s="711"/>
      <c r="BW47" s="711"/>
      <c r="BX47" s="711"/>
      <c r="BY47" s="711"/>
      <c r="BZ47" s="711"/>
      <c r="CA47" s="712"/>
      <c r="CB47" s="16"/>
      <c r="CC47" s="16"/>
    </row>
    <row r="48" spans="1:81" ht="26.4">
      <c r="A48" s="59" t="str">
        <f t="shared" si="13"/>
        <v>S</v>
      </c>
      <c r="B48" s="59">
        <f t="shared" si="14"/>
        <v>0</v>
      </c>
      <c r="C48" s="59">
        <f t="shared" ca="1" si="2"/>
        <v>7</v>
      </c>
      <c r="D48" s="59">
        <f t="shared" ca="1" si="3"/>
        <v>1</v>
      </c>
      <c r="E48" s="59">
        <f t="shared" ca="1" si="4"/>
        <v>0</v>
      </c>
      <c r="F48" s="59">
        <f t="shared" ca="1" si="5"/>
        <v>0</v>
      </c>
      <c r="G48" s="59">
        <f t="shared" ca="1" si="6"/>
        <v>4</v>
      </c>
      <c r="H48" s="59">
        <f t="shared" ca="1" si="7"/>
        <v>0</v>
      </c>
      <c r="I48" s="59">
        <f t="shared" ca="1" si="8"/>
        <v>0</v>
      </c>
      <c r="J48" s="59">
        <f t="shared" si="9"/>
        <v>2</v>
      </c>
      <c r="K48" s="127" t="s">
        <v>4</v>
      </c>
      <c r="L48" s="165" t="s">
        <v>110</v>
      </c>
      <c r="M48" s="129" t="s">
        <v>111</v>
      </c>
      <c r="N48" s="130" t="s">
        <v>93</v>
      </c>
      <c r="O48" s="131">
        <v>1</v>
      </c>
      <c r="P48" s="132">
        <v>937.89</v>
      </c>
      <c r="Q48" s="133">
        <f t="shared" si="15"/>
        <v>0</v>
      </c>
      <c r="R48" s="1">
        <f t="shared" si="21"/>
        <v>937.89</v>
      </c>
      <c r="S48" s="2">
        <f t="shared" ca="1" si="10"/>
        <v>0</v>
      </c>
      <c r="T48" s="3">
        <v>1</v>
      </c>
      <c r="U48" s="4">
        <f t="shared" ca="1" si="22"/>
        <v>1</v>
      </c>
      <c r="V48" s="5">
        <f t="shared" si="25"/>
        <v>0</v>
      </c>
      <c r="W48" s="6">
        <f t="shared" si="26"/>
        <v>937.89</v>
      </c>
      <c r="X48" s="7">
        <f t="shared" si="23"/>
        <v>937.89</v>
      </c>
      <c r="Y48" s="134"/>
      <c r="Z48" s="135"/>
      <c r="AA48" s="136">
        <v>1</v>
      </c>
      <c r="AB48" s="136"/>
      <c r="AC48" s="136"/>
      <c r="AD48" s="136"/>
      <c r="AE48" s="136"/>
      <c r="AF48" s="136"/>
      <c r="AG48" s="136"/>
      <c r="AH48" s="136"/>
      <c r="AI48" s="136"/>
      <c r="AJ48" s="136"/>
      <c r="AK48" s="137"/>
      <c r="AL48" s="135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7"/>
      <c r="AX48" s="16"/>
      <c r="AY48" s="138">
        <v>0</v>
      </c>
      <c r="AZ48" s="8">
        <f t="shared" si="16"/>
        <v>0</v>
      </c>
      <c r="BA48" s="139">
        <v>0</v>
      </c>
      <c r="BB48" s="9" t="e">
        <f t="shared" si="11"/>
        <v>#REF!</v>
      </c>
      <c r="BC48" s="10" t="e">
        <f t="shared" si="17"/>
        <v>#REF!</v>
      </c>
      <c r="BD48" s="11" t="e">
        <f t="shared" si="12"/>
        <v>#REF!</v>
      </c>
      <c r="BF48" s="701" t="e">
        <f t="shared" si="18"/>
        <v>#REF!</v>
      </c>
      <c r="BG48" s="702"/>
      <c r="BH48" s="12" t="e">
        <f t="shared" si="19"/>
        <v>#REF!</v>
      </c>
      <c r="BI48" s="703" t="e">
        <f t="shared" si="20"/>
        <v>#REF!</v>
      </c>
      <c r="BJ48" s="704"/>
      <c r="BK48" s="705" t="e">
        <f>IF(BR48&gt;0,CHOOSE(MATCH(RegimeExecucao,{"Unitário","Global"},0),IF($A48="S",BR48/BN48,""),(BR48/BN48)*100),"")</f>
        <v>#REF!</v>
      </c>
      <c r="BL48" s="706"/>
      <c r="BM48" s="707"/>
      <c r="BN48" s="708" t="e">
        <f>IF(BR48&gt;0,CHOOSE(MATCH(RegimeExecucao,{"Unitário","Global"},0),IF($A48="S",ROUND(P48,arredunit),""),ROUND(R48,arredtot)),"")</f>
        <v>#REF!</v>
      </c>
      <c r="BO48" s="709"/>
      <c r="BP48" s="709"/>
      <c r="BQ48" s="710"/>
      <c r="BR48" s="708" t="e">
        <f t="shared" si="1"/>
        <v>#REF!</v>
      </c>
      <c r="BS48" s="709"/>
      <c r="BT48" s="709"/>
      <c r="BU48" s="710"/>
      <c r="BV48" s="711"/>
      <c r="BW48" s="711"/>
      <c r="BX48" s="711"/>
      <c r="BY48" s="711"/>
      <c r="BZ48" s="711"/>
      <c r="CA48" s="712"/>
      <c r="CB48" s="16"/>
      <c r="CC48" s="16"/>
    </row>
    <row r="49" spans="1:81" ht="26.4">
      <c r="A49" s="59" t="str">
        <f t="shared" si="13"/>
        <v>S</v>
      </c>
      <c r="B49" s="59">
        <f t="shared" si="14"/>
        <v>0</v>
      </c>
      <c r="C49" s="59">
        <f t="shared" ca="1" si="2"/>
        <v>7</v>
      </c>
      <c r="D49" s="59">
        <f t="shared" ca="1" si="3"/>
        <v>1</v>
      </c>
      <c r="E49" s="59">
        <f t="shared" ca="1" si="4"/>
        <v>0</v>
      </c>
      <c r="F49" s="59">
        <f t="shared" ca="1" si="5"/>
        <v>0</v>
      </c>
      <c r="G49" s="59">
        <f t="shared" ca="1" si="6"/>
        <v>5</v>
      </c>
      <c r="H49" s="59">
        <f t="shared" ca="1" si="7"/>
        <v>0</v>
      </c>
      <c r="I49" s="59">
        <f t="shared" ca="1" si="8"/>
        <v>0</v>
      </c>
      <c r="J49" s="59">
        <f t="shared" si="9"/>
        <v>2</v>
      </c>
      <c r="K49" s="127" t="s">
        <v>4</v>
      </c>
      <c r="L49" s="165" t="s">
        <v>112</v>
      </c>
      <c r="M49" s="129" t="s">
        <v>113</v>
      </c>
      <c r="N49" s="130" t="s">
        <v>93</v>
      </c>
      <c r="O49" s="131">
        <v>1.9991511035653653</v>
      </c>
      <c r="P49" s="132">
        <v>11.78</v>
      </c>
      <c r="Q49" s="133">
        <f t="shared" si="15"/>
        <v>0</v>
      </c>
      <c r="R49" s="1">
        <f t="shared" si="21"/>
        <v>23.55</v>
      </c>
      <c r="S49" s="2">
        <v>1</v>
      </c>
      <c r="T49" s="3">
        <v>1</v>
      </c>
      <c r="U49" s="4">
        <f t="shared" si="22"/>
        <v>2</v>
      </c>
      <c r="V49" s="5">
        <f t="shared" si="25"/>
        <v>11.78</v>
      </c>
      <c r="W49" s="6">
        <f t="shared" si="26"/>
        <v>11.78</v>
      </c>
      <c r="X49" s="7">
        <f t="shared" si="23"/>
        <v>23.56</v>
      </c>
      <c r="Y49" s="134"/>
      <c r="Z49" s="135">
        <v>1</v>
      </c>
      <c r="AA49" s="136">
        <v>1</v>
      </c>
      <c r="AB49" s="136"/>
      <c r="AC49" s="136"/>
      <c r="AD49" s="136"/>
      <c r="AE49" s="136"/>
      <c r="AF49" s="136"/>
      <c r="AG49" s="136"/>
      <c r="AH49" s="136"/>
      <c r="AI49" s="136"/>
      <c r="AJ49" s="136"/>
      <c r="AK49" s="137"/>
      <c r="AL49" s="135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7"/>
      <c r="AX49" s="16"/>
      <c r="AY49" s="138">
        <v>0</v>
      </c>
      <c r="AZ49" s="8">
        <f t="shared" si="16"/>
        <v>0</v>
      </c>
      <c r="BA49" s="139">
        <v>0</v>
      </c>
      <c r="BB49" s="9" t="e">
        <f t="shared" si="11"/>
        <v>#REF!</v>
      </c>
      <c r="BC49" s="10" t="e">
        <f t="shared" si="17"/>
        <v>#REF!</v>
      </c>
      <c r="BD49" s="11" t="e">
        <f t="shared" si="12"/>
        <v>#REF!</v>
      </c>
      <c r="BF49" s="701" t="e">
        <f t="shared" si="18"/>
        <v>#REF!</v>
      </c>
      <c r="BG49" s="702"/>
      <c r="BH49" s="12" t="e">
        <f t="shared" si="19"/>
        <v>#REF!</v>
      </c>
      <c r="BI49" s="703" t="e">
        <f t="shared" si="20"/>
        <v>#REF!</v>
      </c>
      <c r="BJ49" s="704"/>
      <c r="BK49" s="705" t="e">
        <f>IF(BR49&gt;0,CHOOSE(MATCH(RegimeExecucao,{"Unitário","Global"},0),IF($A49="S",BR49/BN49,""),(BR49/BN49)*100),"")</f>
        <v>#REF!</v>
      </c>
      <c r="BL49" s="706"/>
      <c r="BM49" s="707"/>
      <c r="BN49" s="708" t="e">
        <f>IF(BR49&gt;0,CHOOSE(MATCH(RegimeExecucao,{"Unitário","Global"},0),IF($A49="S",ROUND(P49,arredunit),""),ROUND(R49,arredtot)),"")</f>
        <v>#REF!</v>
      </c>
      <c r="BO49" s="709"/>
      <c r="BP49" s="709"/>
      <c r="BQ49" s="710"/>
      <c r="BR49" s="708" t="e">
        <f t="shared" si="1"/>
        <v>#REF!</v>
      </c>
      <c r="BS49" s="709"/>
      <c r="BT49" s="709"/>
      <c r="BU49" s="710"/>
      <c r="BV49" s="711"/>
      <c r="BW49" s="711"/>
      <c r="BX49" s="711"/>
      <c r="BY49" s="711"/>
      <c r="BZ49" s="711"/>
      <c r="CA49" s="712"/>
      <c r="CB49" s="16"/>
      <c r="CC49" s="16"/>
    </row>
    <row r="50" spans="1:81" ht="26.4">
      <c r="A50" s="59" t="str">
        <f t="shared" si="13"/>
        <v>S</v>
      </c>
      <c r="B50" s="59">
        <f t="shared" si="14"/>
        <v>0</v>
      </c>
      <c r="C50" s="59">
        <f t="shared" ca="1" si="2"/>
        <v>7</v>
      </c>
      <c r="D50" s="59">
        <f t="shared" ca="1" si="3"/>
        <v>1</v>
      </c>
      <c r="E50" s="59">
        <f t="shared" ca="1" si="4"/>
        <v>0</v>
      </c>
      <c r="F50" s="59">
        <f t="shared" ca="1" si="5"/>
        <v>0</v>
      </c>
      <c r="G50" s="59">
        <f t="shared" ca="1" si="6"/>
        <v>6</v>
      </c>
      <c r="H50" s="59">
        <f t="shared" ca="1" si="7"/>
        <v>0</v>
      </c>
      <c r="I50" s="59">
        <f t="shared" ca="1" si="8"/>
        <v>0</v>
      </c>
      <c r="J50" s="59">
        <f t="shared" si="9"/>
        <v>2</v>
      </c>
      <c r="K50" s="127" t="s">
        <v>4</v>
      </c>
      <c r="L50" s="165" t="s">
        <v>114</v>
      </c>
      <c r="M50" s="129" t="s">
        <v>115</v>
      </c>
      <c r="N50" s="130" t="s">
        <v>93</v>
      </c>
      <c r="O50" s="131">
        <v>2.0000050883075779</v>
      </c>
      <c r="P50" s="132">
        <v>1965.29</v>
      </c>
      <c r="Q50" s="133">
        <f t="shared" si="15"/>
        <v>0</v>
      </c>
      <c r="R50" s="1">
        <f t="shared" si="21"/>
        <v>3930.5899999999997</v>
      </c>
      <c r="S50" s="2">
        <f t="shared" ca="1" si="10"/>
        <v>0</v>
      </c>
      <c r="T50" s="3">
        <f t="shared" si="24"/>
        <v>0</v>
      </c>
      <c r="U50" s="4">
        <f t="shared" ca="1" si="22"/>
        <v>0</v>
      </c>
      <c r="V50" s="5">
        <f t="shared" si="25"/>
        <v>0</v>
      </c>
      <c r="W50" s="6">
        <f t="shared" si="26"/>
        <v>0</v>
      </c>
      <c r="X50" s="7">
        <f t="shared" si="23"/>
        <v>0</v>
      </c>
      <c r="Y50" s="134"/>
      <c r="Z50" s="135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7"/>
      <c r="AL50" s="135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7"/>
      <c r="AX50" s="16"/>
      <c r="AY50" s="138">
        <v>0</v>
      </c>
      <c r="AZ50" s="8">
        <f t="shared" si="16"/>
        <v>0</v>
      </c>
      <c r="BA50" s="139">
        <v>0</v>
      </c>
      <c r="BB50" s="9" t="e">
        <f t="shared" si="11"/>
        <v>#REF!</v>
      </c>
      <c r="BC50" s="10" t="e">
        <f t="shared" si="17"/>
        <v>#REF!</v>
      </c>
      <c r="BD50" s="11" t="e">
        <f t="shared" si="12"/>
        <v>#REF!</v>
      </c>
      <c r="BF50" s="701" t="e">
        <f t="shared" si="18"/>
        <v>#REF!</v>
      </c>
      <c r="BG50" s="702"/>
      <c r="BH50" s="12" t="e">
        <f t="shared" si="19"/>
        <v>#REF!</v>
      </c>
      <c r="BI50" s="703" t="e">
        <f t="shared" si="20"/>
        <v>#REF!</v>
      </c>
      <c r="BJ50" s="704"/>
      <c r="BK50" s="705" t="e">
        <f>IF(BR50&gt;0,CHOOSE(MATCH(RegimeExecucao,{"Unitário","Global"},0),IF($A50="S",BR50/BN50,""),(BR50/BN50)*100),"")</f>
        <v>#REF!</v>
      </c>
      <c r="BL50" s="706"/>
      <c r="BM50" s="707"/>
      <c r="BN50" s="708" t="e">
        <f>IF(BR50&gt;0,CHOOSE(MATCH(RegimeExecucao,{"Unitário","Global"},0),IF($A50="S",ROUND(P50,arredunit),""),ROUND(R50,arredtot)),"")</f>
        <v>#REF!</v>
      </c>
      <c r="BO50" s="709"/>
      <c r="BP50" s="709"/>
      <c r="BQ50" s="710"/>
      <c r="BR50" s="708" t="e">
        <f t="shared" si="1"/>
        <v>#REF!</v>
      </c>
      <c r="BS50" s="709"/>
      <c r="BT50" s="709"/>
      <c r="BU50" s="710"/>
      <c r="BV50" s="711"/>
      <c r="BW50" s="711"/>
      <c r="BX50" s="711"/>
      <c r="BY50" s="711"/>
      <c r="BZ50" s="711"/>
      <c r="CA50" s="712"/>
      <c r="CB50" s="16"/>
      <c r="CC50" s="16"/>
    </row>
    <row r="51" spans="1:81">
      <c r="A51" s="59">
        <f t="shared" si="13"/>
        <v>1</v>
      </c>
      <c r="B51" s="59">
        <f t="shared" ca="1" si="14"/>
        <v>11</v>
      </c>
      <c r="C51" s="59">
        <f t="shared" ca="1" si="2"/>
        <v>8</v>
      </c>
      <c r="D51" s="59">
        <f t="shared" ca="1" si="3"/>
        <v>0</v>
      </c>
      <c r="E51" s="59">
        <f t="shared" ca="1" si="4"/>
        <v>0</v>
      </c>
      <c r="F51" s="59">
        <f t="shared" ca="1" si="5"/>
        <v>0</v>
      </c>
      <c r="G51" s="59">
        <f t="shared" ca="1" si="6"/>
        <v>0</v>
      </c>
      <c r="H51" s="59">
        <f t="shared" ca="1" si="7"/>
        <v>38</v>
      </c>
      <c r="I51" s="59">
        <f t="shared" ca="1" si="8"/>
        <v>11</v>
      </c>
      <c r="J51" s="59">
        <f t="shared" si="9"/>
        <v>0</v>
      </c>
      <c r="K51" s="127" t="str">
        <f>CHOOSE(1+LOG(1+2*($J51=3)+4*($J51=2)+8*($J51=1)+16*(AND($L51&lt;&gt;"",$L51&lt;&gt;0,$J51=0))+32*OR($N51&lt;&gt;"",RegimeExecucao="Global",AND($L51="",$M51="",$N51="")),2),"","Nível 4","Nível 3","Nível 2","Meta","Serviço")</f>
        <v>Meta</v>
      </c>
      <c r="L51" s="128">
        <v>8</v>
      </c>
      <c r="M51" s="129" t="s">
        <v>116</v>
      </c>
      <c r="N51" s="130"/>
      <c r="O51" s="131"/>
      <c r="P51" s="132"/>
      <c r="Q51" s="133">
        <f t="shared" si="15"/>
        <v>11285.48</v>
      </c>
      <c r="R51" s="1">
        <f>SUM(R52,R55)</f>
        <v>11285.48</v>
      </c>
      <c r="S51" s="2">
        <f t="shared" ca="1" si="10"/>
        <v>0</v>
      </c>
      <c r="T51" s="3">
        <f t="shared" si="24"/>
        <v>0</v>
      </c>
      <c r="U51" s="4">
        <f t="shared" ca="1" si="22"/>
        <v>0</v>
      </c>
      <c r="V51" s="1">
        <f>SUM(V52,V55)</f>
        <v>3630.98</v>
      </c>
      <c r="W51" s="1">
        <f>SUM(W52,W55)</f>
        <v>1873.3972623115581</v>
      </c>
      <c r="X51" s="7">
        <f t="shared" si="23"/>
        <v>5504.3772623115583</v>
      </c>
      <c r="Y51" s="134"/>
      <c r="Z51" s="135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7"/>
      <c r="AL51" s="135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7"/>
      <c r="AX51" s="16"/>
      <c r="AY51" s="138">
        <v>0</v>
      </c>
      <c r="AZ51" s="8">
        <f t="shared" si="16"/>
        <v>0</v>
      </c>
      <c r="BA51" s="139">
        <v>0</v>
      </c>
      <c r="BB51" s="9" t="e">
        <f t="shared" ca="1" si="11"/>
        <v>#REF!</v>
      </c>
      <c r="BC51" s="10" t="e">
        <f t="shared" ca="1" si="17"/>
        <v>#REF!</v>
      </c>
      <c r="BD51" s="11" t="e">
        <f t="shared" ca="1" si="12"/>
        <v>#REF!</v>
      </c>
      <c r="BF51" s="701" t="e">
        <f t="shared" ca="1" si="18"/>
        <v>#REF!</v>
      </c>
      <c r="BG51" s="702"/>
      <c r="BH51" s="12" t="e">
        <f t="shared" ca="1" si="19"/>
        <v>#REF!</v>
      </c>
      <c r="BI51" s="703" t="e">
        <f t="shared" ca="1" si="20"/>
        <v>#REF!</v>
      </c>
      <c r="BJ51" s="704"/>
      <c r="BK51" s="705" t="e">
        <f ca="1">IF(BR51&gt;0,CHOOSE(MATCH(RegimeExecucao,{"Unitário","Global"},0),IF($A51="S",BR51/BN51,""),(BR51/BN51)*100),"")</f>
        <v>#REF!</v>
      </c>
      <c r="BL51" s="706"/>
      <c r="BM51" s="707"/>
      <c r="BN51" s="708" t="e">
        <f ca="1">IF(BR51&gt;0,CHOOSE(MATCH(RegimeExecucao,{"Unitário","Global"},0),IF($A51="S",ROUND(P51,arredunit),""),ROUND(R51,arredtot)),"")</f>
        <v>#REF!</v>
      </c>
      <c r="BO51" s="709"/>
      <c r="BP51" s="709"/>
      <c r="BQ51" s="710"/>
      <c r="BR51" s="708" t="e">
        <f t="shared" ca="1" si="1"/>
        <v>#REF!</v>
      </c>
      <c r="BS51" s="709"/>
      <c r="BT51" s="709"/>
      <c r="BU51" s="710"/>
      <c r="BV51" s="711"/>
      <c r="BW51" s="711"/>
      <c r="BX51" s="711"/>
      <c r="BY51" s="711"/>
      <c r="BZ51" s="711"/>
      <c r="CA51" s="712"/>
      <c r="CB51" s="16"/>
      <c r="CC51" s="16"/>
    </row>
    <row r="52" spans="1:81">
      <c r="A52" s="59">
        <f t="shared" si="13"/>
        <v>2</v>
      </c>
      <c r="B52" s="59">
        <f t="shared" ca="1" si="14"/>
        <v>3</v>
      </c>
      <c r="C52" s="59">
        <f t="shared" ca="1" si="2"/>
        <v>8</v>
      </c>
      <c r="D52" s="59">
        <f t="shared" ca="1" si="3"/>
        <v>1</v>
      </c>
      <c r="E52" s="59">
        <f t="shared" ca="1" si="4"/>
        <v>0</v>
      </c>
      <c r="F52" s="59">
        <f t="shared" ca="1" si="5"/>
        <v>0</v>
      </c>
      <c r="G52" s="59">
        <f t="shared" ca="1" si="6"/>
        <v>0</v>
      </c>
      <c r="H52" s="59">
        <f t="shared" ca="1" si="7"/>
        <v>10</v>
      </c>
      <c r="I52" s="59">
        <f t="shared" ca="1" si="8"/>
        <v>3</v>
      </c>
      <c r="J52" s="59">
        <f t="shared" si="9"/>
        <v>1</v>
      </c>
      <c r="K52" s="127" t="str">
        <f>CHOOSE(1+LOG(1+2*($J52=3)+4*($J52=2)+8*($J52=1)+16*(AND($L52&lt;&gt;"",$L52&lt;&gt;0,$J52=0))+32*OR($N52&lt;&gt;"",RegimeExecucao="Global",AND($L52="",$M52="",$N52="")),2),"","Nível 4","Nível 3","Nível 2","Meta","Serviço")</f>
        <v>Nível 2</v>
      </c>
      <c r="L52" s="165" t="s">
        <v>117</v>
      </c>
      <c r="M52" s="129" t="s">
        <v>118</v>
      </c>
      <c r="N52" s="130"/>
      <c r="O52" s="131"/>
      <c r="P52" s="132"/>
      <c r="Q52" s="133">
        <f t="shared" si="15"/>
        <v>7261.2800000000007</v>
      </c>
      <c r="R52" s="1">
        <f>SUM(R53:R54)</f>
        <v>7261.2800000000007</v>
      </c>
      <c r="S52" s="2">
        <f t="shared" ca="1" si="10"/>
        <v>0</v>
      </c>
      <c r="T52" s="3">
        <f t="shared" si="24"/>
        <v>0</v>
      </c>
      <c r="U52" s="4">
        <f t="shared" ca="1" si="22"/>
        <v>0</v>
      </c>
      <c r="V52" s="1">
        <f>SUM(V53:V54)</f>
        <v>0</v>
      </c>
      <c r="W52" s="1">
        <f>SUM(W53:W54)</f>
        <v>1873.3972623115581</v>
      </c>
      <c r="X52" s="7">
        <f t="shared" si="23"/>
        <v>1873.3972623115581</v>
      </c>
      <c r="Y52" s="134"/>
      <c r="Z52" s="135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7"/>
      <c r="AL52" s="135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7"/>
      <c r="AX52" s="16"/>
      <c r="AY52" s="138">
        <v>0</v>
      </c>
      <c r="AZ52" s="8">
        <f t="shared" si="16"/>
        <v>0</v>
      </c>
      <c r="BA52" s="139">
        <v>0</v>
      </c>
      <c r="BB52" s="9" t="e">
        <f t="shared" ca="1" si="11"/>
        <v>#REF!</v>
      </c>
      <c r="BC52" s="10" t="e">
        <f t="shared" ca="1" si="17"/>
        <v>#REF!</v>
      </c>
      <c r="BD52" s="11" t="e">
        <f t="shared" ca="1" si="12"/>
        <v>#REF!</v>
      </c>
      <c r="BF52" s="701" t="e">
        <f t="shared" ca="1" si="18"/>
        <v>#REF!</v>
      </c>
      <c r="BG52" s="702"/>
      <c r="BH52" s="12" t="e">
        <f t="shared" ca="1" si="19"/>
        <v>#REF!</v>
      </c>
      <c r="BI52" s="703" t="e">
        <f t="shared" ca="1" si="20"/>
        <v>#REF!</v>
      </c>
      <c r="BJ52" s="704"/>
      <c r="BK52" s="705" t="e">
        <f ca="1">IF(BR52&gt;0,CHOOSE(MATCH(RegimeExecucao,{"Unitário","Global"},0),IF($A52="S",BR52/BN52,""),(BR52/BN52)*100),"")</f>
        <v>#REF!</v>
      </c>
      <c r="BL52" s="706"/>
      <c r="BM52" s="707"/>
      <c r="BN52" s="708" t="e">
        <f ca="1">IF(BR52&gt;0,CHOOSE(MATCH(RegimeExecucao,{"Unitário","Global"},0),IF($A52="S",ROUND(P52,arredunit),""),ROUND(R52,arredtot)),"")</f>
        <v>#REF!</v>
      </c>
      <c r="BO52" s="709"/>
      <c r="BP52" s="709"/>
      <c r="BQ52" s="710"/>
      <c r="BR52" s="708" t="e">
        <f t="shared" ca="1" si="1"/>
        <v>#REF!</v>
      </c>
      <c r="BS52" s="709"/>
      <c r="BT52" s="709"/>
      <c r="BU52" s="710"/>
      <c r="BV52" s="711"/>
      <c r="BW52" s="711"/>
      <c r="BX52" s="711"/>
      <c r="BY52" s="711"/>
      <c r="BZ52" s="711"/>
      <c r="CA52" s="712"/>
      <c r="CB52" s="16"/>
      <c r="CC52" s="16"/>
    </row>
    <row r="53" spans="1:81" ht="39.6">
      <c r="A53" s="59" t="str">
        <f t="shared" si="13"/>
        <v>S</v>
      </c>
      <c r="B53" s="59">
        <f t="shared" si="14"/>
        <v>0</v>
      </c>
      <c r="C53" s="59">
        <f t="shared" ca="1" si="2"/>
        <v>8</v>
      </c>
      <c r="D53" s="59">
        <f t="shared" ca="1" si="3"/>
        <v>1</v>
      </c>
      <c r="E53" s="59">
        <f t="shared" ca="1" si="4"/>
        <v>0</v>
      </c>
      <c r="F53" s="59">
        <f t="shared" ca="1" si="5"/>
        <v>0</v>
      </c>
      <c r="G53" s="59">
        <f t="shared" ca="1" si="6"/>
        <v>1</v>
      </c>
      <c r="H53" s="59">
        <f t="shared" ca="1" si="7"/>
        <v>0</v>
      </c>
      <c r="I53" s="59">
        <f t="shared" ca="1" si="8"/>
        <v>0</v>
      </c>
      <c r="J53" s="59">
        <f t="shared" si="9"/>
        <v>2</v>
      </c>
      <c r="K53" s="127" t="s">
        <v>4</v>
      </c>
      <c r="L53" s="165" t="s">
        <v>119</v>
      </c>
      <c r="M53" s="129" t="s">
        <v>120</v>
      </c>
      <c r="N53" s="130" t="s">
        <v>43</v>
      </c>
      <c r="O53" s="131">
        <v>199</v>
      </c>
      <c r="P53" s="132">
        <v>3.8387437185929647</v>
      </c>
      <c r="Q53" s="133">
        <f t="shared" si="15"/>
        <v>0</v>
      </c>
      <c r="R53" s="1">
        <f t="shared" si="21"/>
        <v>763.91</v>
      </c>
      <c r="S53" s="2">
        <f t="shared" ca="1" si="10"/>
        <v>0</v>
      </c>
      <c r="T53" s="3">
        <v>51.34</v>
      </c>
      <c r="U53" s="4">
        <f t="shared" ca="1" si="22"/>
        <v>51.34</v>
      </c>
      <c r="V53" s="5">
        <f t="shared" si="25"/>
        <v>0</v>
      </c>
      <c r="W53" s="6">
        <f>IF(O53-AA53&gt;0.01,AA53*P53,R53)+0.07</f>
        <v>197.1511025125628</v>
      </c>
      <c r="X53" s="7">
        <f t="shared" si="23"/>
        <v>197.1511025125628</v>
      </c>
      <c r="Y53" s="134"/>
      <c r="Z53" s="135"/>
      <c r="AA53" s="136">
        <v>51.34</v>
      </c>
      <c r="AB53" s="136"/>
      <c r="AC53" s="136"/>
      <c r="AD53" s="136"/>
      <c r="AE53" s="136"/>
      <c r="AF53" s="136"/>
      <c r="AG53" s="136"/>
      <c r="AH53" s="136"/>
      <c r="AI53" s="136"/>
      <c r="AJ53" s="136"/>
      <c r="AK53" s="137"/>
      <c r="AL53" s="135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7"/>
      <c r="AX53" s="16"/>
      <c r="AY53" s="138">
        <v>0</v>
      </c>
      <c r="AZ53" s="8">
        <f t="shared" si="16"/>
        <v>0</v>
      </c>
      <c r="BA53" s="139">
        <v>0</v>
      </c>
      <c r="BB53" s="9" t="e">
        <f t="shared" si="11"/>
        <v>#REF!</v>
      </c>
      <c r="BC53" s="10" t="e">
        <f t="shared" si="17"/>
        <v>#REF!</v>
      </c>
      <c r="BD53" s="11" t="e">
        <f t="shared" si="12"/>
        <v>#REF!</v>
      </c>
      <c r="BF53" s="701" t="e">
        <f t="shared" si="18"/>
        <v>#REF!</v>
      </c>
      <c r="BG53" s="702"/>
      <c r="BH53" s="12" t="e">
        <f t="shared" si="19"/>
        <v>#REF!</v>
      </c>
      <c r="BI53" s="703" t="e">
        <f t="shared" si="20"/>
        <v>#REF!</v>
      </c>
      <c r="BJ53" s="704"/>
      <c r="BK53" s="705" t="e">
        <f>IF(BR53&gt;0,CHOOSE(MATCH(RegimeExecucao,{"Unitário","Global"},0),IF($A53="S",BR53/BN53,""),(BR53/BN53)*100),"")</f>
        <v>#REF!</v>
      </c>
      <c r="BL53" s="706"/>
      <c r="BM53" s="707"/>
      <c r="BN53" s="708" t="e">
        <f>IF(BR53&gt;0,CHOOSE(MATCH(RegimeExecucao,{"Unitário","Global"},0),IF($A53="S",ROUND(P53,arredunit),""),ROUND(R53,arredtot)),"")</f>
        <v>#REF!</v>
      </c>
      <c r="BO53" s="709"/>
      <c r="BP53" s="709"/>
      <c r="BQ53" s="710"/>
      <c r="BR53" s="708" t="e">
        <f t="shared" si="1"/>
        <v>#REF!</v>
      </c>
      <c r="BS53" s="709"/>
      <c r="BT53" s="709"/>
      <c r="BU53" s="710"/>
      <c r="BV53" s="711"/>
      <c r="BW53" s="711"/>
      <c r="BX53" s="711"/>
      <c r="BY53" s="711"/>
      <c r="BZ53" s="711"/>
      <c r="CA53" s="712"/>
      <c r="CB53" s="16"/>
      <c r="CC53" s="16"/>
    </row>
    <row r="54" spans="1:81" ht="52.8">
      <c r="A54" s="59" t="str">
        <f t="shared" si="13"/>
        <v>S</v>
      </c>
      <c r="B54" s="59">
        <f t="shared" si="14"/>
        <v>0</v>
      </c>
      <c r="C54" s="59">
        <f t="shared" ca="1" si="2"/>
        <v>8</v>
      </c>
      <c r="D54" s="59">
        <f t="shared" ca="1" si="3"/>
        <v>1</v>
      </c>
      <c r="E54" s="59">
        <f t="shared" ca="1" si="4"/>
        <v>0</v>
      </c>
      <c r="F54" s="59">
        <f t="shared" ca="1" si="5"/>
        <v>0</v>
      </c>
      <c r="G54" s="59">
        <f t="shared" ca="1" si="6"/>
        <v>2</v>
      </c>
      <c r="H54" s="59">
        <f t="shared" ca="1" si="7"/>
        <v>0</v>
      </c>
      <c r="I54" s="59">
        <f t="shared" ca="1" si="8"/>
        <v>0</v>
      </c>
      <c r="J54" s="59">
        <f t="shared" si="9"/>
        <v>2</v>
      </c>
      <c r="K54" s="127" t="s">
        <v>4</v>
      </c>
      <c r="L54" s="165" t="s">
        <v>121</v>
      </c>
      <c r="M54" s="129" t="s">
        <v>122</v>
      </c>
      <c r="N54" s="130" t="s">
        <v>43</v>
      </c>
      <c r="O54" s="131">
        <v>199</v>
      </c>
      <c r="P54" s="132">
        <v>32.650100502512565</v>
      </c>
      <c r="Q54" s="133">
        <f t="shared" si="15"/>
        <v>0</v>
      </c>
      <c r="R54" s="1">
        <f t="shared" si="21"/>
        <v>6497.3700000000008</v>
      </c>
      <c r="S54" s="2">
        <f t="shared" ca="1" si="10"/>
        <v>0</v>
      </c>
      <c r="T54" s="3">
        <v>51.34</v>
      </c>
      <c r="U54" s="4">
        <f t="shared" ca="1" si="22"/>
        <v>51.34</v>
      </c>
      <c r="V54" s="5">
        <f t="shared" si="25"/>
        <v>0</v>
      </c>
      <c r="W54" s="6">
        <f>IF(O54-AA54&gt;0.01,AA54*P54,R54)-0.01</f>
        <v>1676.2461597989952</v>
      </c>
      <c r="X54" s="7">
        <f t="shared" si="23"/>
        <v>1676.2461597989952</v>
      </c>
      <c r="Y54" s="134"/>
      <c r="Z54" s="135"/>
      <c r="AA54" s="136">
        <v>51.34</v>
      </c>
      <c r="AB54" s="136"/>
      <c r="AC54" s="136"/>
      <c r="AD54" s="136"/>
      <c r="AE54" s="136"/>
      <c r="AF54" s="136"/>
      <c r="AG54" s="136"/>
      <c r="AH54" s="136"/>
      <c r="AI54" s="136"/>
      <c r="AJ54" s="136"/>
      <c r="AK54" s="137"/>
      <c r="AL54" s="135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7"/>
      <c r="AX54" s="16"/>
      <c r="AY54" s="138">
        <v>0</v>
      </c>
      <c r="AZ54" s="8">
        <f t="shared" si="16"/>
        <v>0</v>
      </c>
      <c r="BA54" s="139">
        <v>0</v>
      </c>
      <c r="BB54" s="9" t="e">
        <f t="shared" si="11"/>
        <v>#REF!</v>
      </c>
      <c r="BC54" s="10" t="e">
        <f t="shared" si="17"/>
        <v>#REF!</v>
      </c>
      <c r="BD54" s="11" t="e">
        <f t="shared" si="12"/>
        <v>#REF!</v>
      </c>
      <c r="BF54" s="701" t="e">
        <f t="shared" si="18"/>
        <v>#REF!</v>
      </c>
      <c r="BG54" s="702"/>
      <c r="BH54" s="12" t="e">
        <f t="shared" si="19"/>
        <v>#REF!</v>
      </c>
      <c r="BI54" s="703" t="e">
        <f t="shared" si="20"/>
        <v>#REF!</v>
      </c>
      <c r="BJ54" s="704"/>
      <c r="BK54" s="705" t="e">
        <f>IF(BR54&gt;0,CHOOSE(MATCH(RegimeExecucao,{"Unitário","Global"},0),IF($A54="S",BR54/BN54,""),(BR54/BN54)*100),"")</f>
        <v>#REF!</v>
      </c>
      <c r="BL54" s="706"/>
      <c r="BM54" s="707"/>
      <c r="BN54" s="708" t="e">
        <f>IF(BR54&gt;0,CHOOSE(MATCH(RegimeExecucao,{"Unitário","Global"},0),IF($A54="S",ROUND(P54,arredunit),""),ROUND(R54,arredtot)),"")</f>
        <v>#REF!</v>
      </c>
      <c r="BO54" s="709"/>
      <c r="BP54" s="709"/>
      <c r="BQ54" s="710"/>
      <c r="BR54" s="708" t="e">
        <f t="shared" si="1"/>
        <v>#REF!</v>
      </c>
      <c r="BS54" s="709"/>
      <c r="BT54" s="709"/>
      <c r="BU54" s="710"/>
      <c r="BV54" s="711"/>
      <c r="BW54" s="711"/>
      <c r="BX54" s="711"/>
      <c r="BY54" s="711"/>
      <c r="BZ54" s="711"/>
      <c r="CA54" s="712"/>
      <c r="CB54" s="16"/>
      <c r="CC54" s="16"/>
    </row>
    <row r="55" spans="1:81">
      <c r="A55" s="59">
        <f t="shared" si="13"/>
        <v>2</v>
      </c>
      <c r="B55" s="59">
        <f t="shared" ca="1" si="14"/>
        <v>7</v>
      </c>
      <c r="C55" s="59">
        <f t="shared" ca="1" si="2"/>
        <v>8</v>
      </c>
      <c r="D55" s="59">
        <f t="shared" ca="1" si="3"/>
        <v>2</v>
      </c>
      <c r="E55" s="59">
        <f t="shared" ca="1" si="4"/>
        <v>0</v>
      </c>
      <c r="F55" s="59">
        <f t="shared" ca="1" si="5"/>
        <v>0</v>
      </c>
      <c r="G55" s="59">
        <f t="shared" ca="1" si="6"/>
        <v>0</v>
      </c>
      <c r="H55" s="59">
        <f t="shared" ca="1" si="7"/>
        <v>7</v>
      </c>
      <c r="I55" s="59" t="e">
        <f t="shared" ca="1" si="8"/>
        <v>#N/A</v>
      </c>
      <c r="J55" s="59">
        <f t="shared" si="9"/>
        <v>1</v>
      </c>
      <c r="K55" s="127" t="str">
        <f>CHOOSE(1+LOG(1+2*($J55=3)+4*($J55=2)+8*($J55=1)+16*(AND($L55&lt;&gt;"",$L55&lt;&gt;0,$J55=0))+32*OR($N55&lt;&gt;"",RegimeExecucao="Global",AND($L55="",$M55="",$N55="")),2),"","Nível 4","Nível 3","Nível 2","Meta","Serviço")</f>
        <v>Nível 2</v>
      </c>
      <c r="L55" s="165" t="s">
        <v>123</v>
      </c>
      <c r="M55" s="129" t="s">
        <v>124</v>
      </c>
      <c r="N55" s="130"/>
      <c r="O55" s="131"/>
      <c r="P55" s="132"/>
      <c r="Q55" s="133">
        <f t="shared" si="15"/>
        <v>4024.2</v>
      </c>
      <c r="R55" s="1">
        <f>SUM(R56:R61)</f>
        <v>4024.2</v>
      </c>
      <c r="S55" s="2">
        <f t="shared" ca="1" si="10"/>
        <v>0</v>
      </c>
      <c r="T55" s="3">
        <f t="shared" si="24"/>
        <v>0</v>
      </c>
      <c r="U55" s="4">
        <f t="shared" ca="1" si="22"/>
        <v>0</v>
      </c>
      <c r="V55" s="1">
        <f>SUM(V56:V61)</f>
        <v>3630.98</v>
      </c>
      <c r="W55" s="1">
        <f>SUM(W56:W61)</f>
        <v>0</v>
      </c>
      <c r="X55" s="7">
        <f t="shared" si="23"/>
        <v>3630.98</v>
      </c>
      <c r="Y55" s="134"/>
      <c r="Z55" s="135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7"/>
      <c r="AL55" s="135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7"/>
      <c r="AX55" s="16"/>
      <c r="AY55" s="138">
        <v>0</v>
      </c>
      <c r="AZ55" s="8">
        <f t="shared" si="16"/>
        <v>0</v>
      </c>
      <c r="BA55" s="139">
        <v>0</v>
      </c>
      <c r="BB55" s="9" t="e">
        <f t="shared" ca="1" si="11"/>
        <v>#REF!</v>
      </c>
      <c r="BC55" s="10" t="e">
        <f t="shared" ca="1" si="17"/>
        <v>#REF!</v>
      </c>
      <c r="BD55" s="11" t="e">
        <f t="shared" ca="1" si="12"/>
        <v>#REF!</v>
      </c>
      <c r="BF55" s="701" t="e">
        <f t="shared" ca="1" si="18"/>
        <v>#REF!</v>
      </c>
      <c r="BG55" s="702"/>
      <c r="BH55" s="12" t="e">
        <f t="shared" ca="1" si="19"/>
        <v>#REF!</v>
      </c>
      <c r="BI55" s="703" t="e">
        <f t="shared" ca="1" si="20"/>
        <v>#REF!</v>
      </c>
      <c r="BJ55" s="704"/>
      <c r="BK55" s="705" t="e">
        <f ca="1">IF(BR55&gt;0,CHOOSE(MATCH(RegimeExecucao,{"Unitário","Global"},0),IF($A55="S",BR55/BN55,""),(BR55/BN55)*100),"")</f>
        <v>#REF!</v>
      </c>
      <c r="BL55" s="706"/>
      <c r="BM55" s="707"/>
      <c r="BN55" s="708" t="e">
        <f ca="1">IF(BR55&gt;0,CHOOSE(MATCH(RegimeExecucao,{"Unitário","Global"},0),IF($A55="S",ROUND(P55,arredunit),""),ROUND(R55,arredtot)),"")</f>
        <v>#REF!</v>
      </c>
      <c r="BO55" s="709"/>
      <c r="BP55" s="709"/>
      <c r="BQ55" s="710"/>
      <c r="BR55" s="708" t="e">
        <f t="shared" ca="1" si="1"/>
        <v>#REF!</v>
      </c>
      <c r="BS55" s="709"/>
      <c r="BT55" s="709"/>
      <c r="BU55" s="710"/>
      <c r="BV55" s="711"/>
      <c r="BW55" s="711"/>
      <c r="BX55" s="711"/>
      <c r="BY55" s="711"/>
      <c r="BZ55" s="711"/>
      <c r="CA55" s="712"/>
      <c r="CB55" s="16"/>
      <c r="CC55" s="16"/>
    </row>
    <row r="56" spans="1:81" ht="39.6">
      <c r="A56" s="59" t="str">
        <f t="shared" si="13"/>
        <v>S</v>
      </c>
      <c r="B56" s="59">
        <f t="shared" si="14"/>
        <v>0</v>
      </c>
      <c r="C56" s="59">
        <f t="shared" ca="1" si="2"/>
        <v>8</v>
      </c>
      <c r="D56" s="59">
        <f t="shared" ca="1" si="3"/>
        <v>2</v>
      </c>
      <c r="E56" s="59">
        <f t="shared" ca="1" si="4"/>
        <v>0</v>
      </c>
      <c r="F56" s="59">
        <f t="shared" ca="1" si="5"/>
        <v>0</v>
      </c>
      <c r="G56" s="59">
        <f t="shared" ca="1" si="6"/>
        <v>1</v>
      </c>
      <c r="H56" s="59">
        <f t="shared" ca="1" si="7"/>
        <v>0</v>
      </c>
      <c r="I56" s="59">
        <f t="shared" ca="1" si="8"/>
        <v>0</v>
      </c>
      <c r="J56" s="59">
        <f t="shared" si="9"/>
        <v>2</v>
      </c>
      <c r="K56" s="127" t="s">
        <v>4</v>
      </c>
      <c r="L56" s="165" t="s">
        <v>125</v>
      </c>
      <c r="M56" s="129" t="s">
        <v>126</v>
      </c>
      <c r="N56" s="130" t="s">
        <v>43</v>
      </c>
      <c r="O56" s="131">
        <v>27.000975881778892</v>
      </c>
      <c r="P56" s="132">
        <v>71.73</v>
      </c>
      <c r="Q56" s="133">
        <f t="shared" si="15"/>
        <v>0</v>
      </c>
      <c r="R56" s="1">
        <f t="shared" si="21"/>
        <v>1936.78</v>
      </c>
      <c r="S56" s="2">
        <v>27</v>
      </c>
      <c r="T56" s="3"/>
      <c r="U56" s="4">
        <f t="shared" si="22"/>
        <v>27</v>
      </c>
      <c r="V56" s="5">
        <f t="shared" si="25"/>
        <v>1936.78</v>
      </c>
      <c r="W56" s="6">
        <f t="shared" si="26"/>
        <v>0</v>
      </c>
      <c r="X56" s="7">
        <f t="shared" si="23"/>
        <v>1936.78</v>
      </c>
      <c r="Y56" s="134"/>
      <c r="Z56" s="135">
        <v>27</v>
      </c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7"/>
      <c r="AL56" s="135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7"/>
      <c r="AX56" s="16"/>
      <c r="AY56" s="138">
        <v>0</v>
      </c>
      <c r="AZ56" s="8">
        <f t="shared" si="16"/>
        <v>0</v>
      </c>
      <c r="BA56" s="139">
        <v>0</v>
      </c>
      <c r="BB56" s="9" t="e">
        <f t="shared" si="11"/>
        <v>#REF!</v>
      </c>
      <c r="BC56" s="10" t="e">
        <f t="shared" si="17"/>
        <v>#REF!</v>
      </c>
      <c r="BD56" s="11" t="e">
        <f t="shared" si="12"/>
        <v>#REF!</v>
      </c>
      <c r="BF56" s="701" t="e">
        <f t="shared" si="18"/>
        <v>#REF!</v>
      </c>
      <c r="BG56" s="702"/>
      <c r="BH56" s="12" t="e">
        <f t="shared" si="19"/>
        <v>#REF!</v>
      </c>
      <c r="BI56" s="703" t="e">
        <f t="shared" si="20"/>
        <v>#REF!</v>
      </c>
      <c r="BJ56" s="704"/>
      <c r="BK56" s="705" t="e">
        <f>IF(BR56&gt;0,CHOOSE(MATCH(RegimeExecucao,{"Unitário","Global"},0),IF($A56="S",BR56/BN56,""),(BR56/BN56)*100),"")</f>
        <v>#REF!</v>
      </c>
      <c r="BL56" s="706"/>
      <c r="BM56" s="707"/>
      <c r="BN56" s="708" t="e">
        <f>IF(BR56&gt;0,CHOOSE(MATCH(RegimeExecucao,{"Unitário","Global"},0),IF($A56="S",ROUND(P56,arredunit),""),ROUND(R56,arredtot)),"")</f>
        <v>#REF!</v>
      </c>
      <c r="BO56" s="709"/>
      <c r="BP56" s="709"/>
      <c r="BQ56" s="710"/>
      <c r="BR56" s="708" t="e">
        <f t="shared" si="1"/>
        <v>#REF!</v>
      </c>
      <c r="BS56" s="709"/>
      <c r="BT56" s="709"/>
      <c r="BU56" s="710"/>
      <c r="BV56" s="711"/>
      <c r="BW56" s="711"/>
      <c r="BX56" s="711"/>
      <c r="BY56" s="711"/>
      <c r="BZ56" s="711"/>
      <c r="CA56" s="712"/>
      <c r="CB56" s="16"/>
      <c r="CC56" s="16"/>
    </row>
    <row r="57" spans="1:81" ht="26.4">
      <c r="A57" s="59" t="str">
        <f t="shared" si="13"/>
        <v>S</v>
      </c>
      <c r="B57" s="59">
        <f t="shared" si="14"/>
        <v>0</v>
      </c>
      <c r="C57" s="59">
        <f t="shared" ca="1" si="2"/>
        <v>8</v>
      </c>
      <c r="D57" s="59">
        <f t="shared" ca="1" si="3"/>
        <v>2</v>
      </c>
      <c r="E57" s="59">
        <f t="shared" ca="1" si="4"/>
        <v>0</v>
      </c>
      <c r="F57" s="59">
        <f t="shared" ca="1" si="5"/>
        <v>0</v>
      </c>
      <c r="G57" s="59">
        <f t="shared" ca="1" si="6"/>
        <v>2</v>
      </c>
      <c r="H57" s="59">
        <f t="shared" ca="1" si="7"/>
        <v>0</v>
      </c>
      <c r="I57" s="59">
        <f t="shared" ca="1" si="8"/>
        <v>0</v>
      </c>
      <c r="J57" s="59">
        <f t="shared" si="9"/>
        <v>2</v>
      </c>
      <c r="K57" s="127" t="s">
        <v>4</v>
      </c>
      <c r="L57" s="165" t="s">
        <v>127</v>
      </c>
      <c r="M57" s="129" t="s">
        <v>128</v>
      </c>
      <c r="N57" s="130" t="s">
        <v>43</v>
      </c>
      <c r="O57" s="131">
        <v>27</v>
      </c>
      <c r="P57" s="132">
        <v>3.1022222222222222</v>
      </c>
      <c r="Q57" s="133">
        <f t="shared" si="15"/>
        <v>0</v>
      </c>
      <c r="R57" s="1">
        <f t="shared" si="21"/>
        <v>83.76</v>
      </c>
      <c r="S57" s="2">
        <v>27</v>
      </c>
      <c r="T57" s="3"/>
      <c r="U57" s="4">
        <f t="shared" si="22"/>
        <v>27</v>
      </c>
      <c r="V57" s="5">
        <f t="shared" si="25"/>
        <v>83.76</v>
      </c>
      <c r="W57" s="6">
        <f t="shared" si="26"/>
        <v>0</v>
      </c>
      <c r="X57" s="7">
        <f t="shared" si="23"/>
        <v>83.76</v>
      </c>
      <c r="Y57" s="134"/>
      <c r="Z57" s="135">
        <v>27</v>
      </c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7"/>
      <c r="AL57" s="135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7"/>
      <c r="AX57" s="16"/>
      <c r="AY57" s="138">
        <v>0</v>
      </c>
      <c r="AZ57" s="8">
        <f t="shared" si="16"/>
        <v>0</v>
      </c>
      <c r="BA57" s="139">
        <v>0</v>
      </c>
      <c r="BB57" s="9" t="e">
        <f t="shared" si="11"/>
        <v>#REF!</v>
      </c>
      <c r="BC57" s="10" t="e">
        <f t="shared" si="17"/>
        <v>#REF!</v>
      </c>
      <c r="BD57" s="11" t="e">
        <f t="shared" si="12"/>
        <v>#REF!</v>
      </c>
      <c r="BF57" s="701" t="e">
        <f t="shared" si="18"/>
        <v>#REF!</v>
      </c>
      <c r="BG57" s="702"/>
      <c r="BH57" s="12" t="e">
        <f t="shared" si="19"/>
        <v>#REF!</v>
      </c>
      <c r="BI57" s="703" t="e">
        <f t="shared" si="20"/>
        <v>#REF!</v>
      </c>
      <c r="BJ57" s="704"/>
      <c r="BK57" s="705" t="e">
        <f>IF(BR57&gt;0,CHOOSE(MATCH(RegimeExecucao,{"Unitário","Global"},0),IF($A57="S",BR57/BN57,""),(BR57/BN57)*100),"")</f>
        <v>#REF!</v>
      </c>
      <c r="BL57" s="706"/>
      <c r="BM57" s="707"/>
      <c r="BN57" s="708" t="e">
        <f>IF(BR57&gt;0,CHOOSE(MATCH(RegimeExecucao,{"Unitário","Global"},0),IF($A57="S",ROUND(P57,arredunit),""),ROUND(R57,arredtot)),"")</f>
        <v>#REF!</v>
      </c>
      <c r="BO57" s="709"/>
      <c r="BP57" s="709"/>
      <c r="BQ57" s="710"/>
      <c r="BR57" s="708" t="e">
        <f t="shared" si="1"/>
        <v>#REF!</v>
      </c>
      <c r="BS57" s="709"/>
      <c r="BT57" s="709"/>
      <c r="BU57" s="710"/>
      <c r="BV57" s="711"/>
      <c r="BW57" s="711"/>
      <c r="BX57" s="711"/>
      <c r="BY57" s="711"/>
      <c r="BZ57" s="711"/>
      <c r="CA57" s="712"/>
      <c r="CB57" s="16"/>
      <c r="CC57" s="16"/>
    </row>
    <row r="58" spans="1:81" ht="26.4">
      <c r="A58" s="59" t="str">
        <f t="shared" si="13"/>
        <v>S</v>
      </c>
      <c r="B58" s="59">
        <f t="shared" si="14"/>
        <v>0</v>
      </c>
      <c r="C58" s="59">
        <f t="shared" ca="1" si="2"/>
        <v>8</v>
      </c>
      <c r="D58" s="59">
        <f t="shared" ca="1" si="3"/>
        <v>2</v>
      </c>
      <c r="E58" s="59">
        <f t="shared" ca="1" si="4"/>
        <v>0</v>
      </c>
      <c r="F58" s="59">
        <f t="shared" ca="1" si="5"/>
        <v>0</v>
      </c>
      <c r="G58" s="59">
        <f t="shared" ca="1" si="6"/>
        <v>3</v>
      </c>
      <c r="H58" s="59">
        <f t="shared" ca="1" si="7"/>
        <v>0</v>
      </c>
      <c r="I58" s="59">
        <f t="shared" ca="1" si="8"/>
        <v>0</v>
      </c>
      <c r="J58" s="59">
        <f t="shared" si="9"/>
        <v>2</v>
      </c>
      <c r="K58" s="127" t="s">
        <v>4</v>
      </c>
      <c r="L58" s="165" t="s">
        <v>129</v>
      </c>
      <c r="M58" s="129" t="s">
        <v>130</v>
      </c>
      <c r="N58" s="130" t="s">
        <v>43</v>
      </c>
      <c r="O58" s="131">
        <v>27</v>
      </c>
      <c r="P58" s="132">
        <v>21.237777777777779</v>
      </c>
      <c r="Q58" s="133">
        <f t="shared" si="15"/>
        <v>0</v>
      </c>
      <c r="R58" s="1">
        <f t="shared" si="21"/>
        <v>573.42000000000007</v>
      </c>
      <c r="S58" s="2">
        <v>27</v>
      </c>
      <c r="T58" s="3"/>
      <c r="U58" s="4">
        <f t="shared" si="22"/>
        <v>27</v>
      </c>
      <c r="V58" s="5">
        <f t="shared" si="25"/>
        <v>573.42000000000007</v>
      </c>
      <c r="W58" s="6">
        <f t="shared" si="26"/>
        <v>0</v>
      </c>
      <c r="X58" s="7">
        <f t="shared" si="23"/>
        <v>573.42000000000007</v>
      </c>
      <c r="Y58" s="134"/>
      <c r="Z58" s="135">
        <v>27</v>
      </c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7"/>
      <c r="AL58" s="135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7"/>
      <c r="AX58" s="16"/>
      <c r="AY58" s="138">
        <v>0</v>
      </c>
      <c r="AZ58" s="8">
        <f t="shared" si="16"/>
        <v>0</v>
      </c>
      <c r="BA58" s="139">
        <v>0</v>
      </c>
      <c r="BB58" s="9" t="e">
        <f t="shared" si="11"/>
        <v>#REF!</v>
      </c>
      <c r="BC58" s="10" t="e">
        <f t="shared" si="17"/>
        <v>#REF!</v>
      </c>
      <c r="BD58" s="11" t="e">
        <f t="shared" si="12"/>
        <v>#REF!</v>
      </c>
      <c r="BF58" s="701" t="e">
        <f t="shared" si="18"/>
        <v>#REF!</v>
      </c>
      <c r="BG58" s="702"/>
      <c r="BH58" s="12" t="e">
        <f t="shared" si="19"/>
        <v>#REF!</v>
      </c>
      <c r="BI58" s="703" t="e">
        <f t="shared" si="20"/>
        <v>#REF!</v>
      </c>
      <c r="BJ58" s="704"/>
      <c r="BK58" s="705" t="e">
        <f>IF(BR58&gt;0,CHOOSE(MATCH(RegimeExecucao,{"Unitário","Global"},0),IF($A58="S",BR58/BN58,""),(BR58/BN58)*100),"")</f>
        <v>#REF!</v>
      </c>
      <c r="BL58" s="706"/>
      <c r="BM58" s="707"/>
      <c r="BN58" s="708" t="e">
        <f>IF(BR58&gt;0,CHOOSE(MATCH(RegimeExecucao,{"Unitário","Global"},0),IF($A58="S",ROUND(P58,arredunit),""),ROUND(R58,arredtot)),"")</f>
        <v>#REF!</v>
      </c>
      <c r="BO58" s="709"/>
      <c r="BP58" s="709"/>
      <c r="BQ58" s="710"/>
      <c r="BR58" s="708" t="e">
        <f t="shared" si="1"/>
        <v>#REF!</v>
      </c>
      <c r="BS58" s="709"/>
      <c r="BT58" s="709"/>
      <c r="BU58" s="710"/>
      <c r="BV58" s="711"/>
      <c r="BW58" s="711"/>
      <c r="BX58" s="711"/>
      <c r="BY58" s="711"/>
      <c r="BZ58" s="711"/>
      <c r="CA58" s="712"/>
      <c r="CB58" s="16"/>
      <c r="CC58" s="16"/>
    </row>
    <row r="59" spans="1:81" ht="39.6">
      <c r="A59" s="59" t="str">
        <f t="shared" si="13"/>
        <v>S</v>
      </c>
      <c r="B59" s="59">
        <f t="shared" si="14"/>
        <v>0</v>
      </c>
      <c r="C59" s="59">
        <f t="shared" ca="1" si="2"/>
        <v>8</v>
      </c>
      <c r="D59" s="59">
        <f t="shared" ca="1" si="3"/>
        <v>2</v>
      </c>
      <c r="E59" s="59">
        <f t="shared" ca="1" si="4"/>
        <v>0</v>
      </c>
      <c r="F59" s="59">
        <f t="shared" ca="1" si="5"/>
        <v>0</v>
      </c>
      <c r="G59" s="59">
        <f t="shared" ca="1" si="6"/>
        <v>4</v>
      </c>
      <c r="H59" s="59">
        <f t="shared" ca="1" si="7"/>
        <v>0</v>
      </c>
      <c r="I59" s="59">
        <f t="shared" ca="1" si="8"/>
        <v>0</v>
      </c>
      <c r="J59" s="59">
        <f t="shared" si="9"/>
        <v>2</v>
      </c>
      <c r="K59" s="127" t="s">
        <v>4</v>
      </c>
      <c r="L59" s="165" t="s">
        <v>131</v>
      </c>
      <c r="M59" s="129" t="s">
        <v>132</v>
      </c>
      <c r="N59" s="130" t="s">
        <v>59</v>
      </c>
      <c r="O59" s="131">
        <v>50</v>
      </c>
      <c r="P59" s="132">
        <v>5.4366000000000003</v>
      </c>
      <c r="Q59" s="133">
        <f t="shared" si="15"/>
        <v>0</v>
      </c>
      <c r="R59" s="1">
        <f t="shared" si="21"/>
        <v>271.83000000000004</v>
      </c>
      <c r="S59" s="2">
        <f t="shared" ca="1" si="10"/>
        <v>0</v>
      </c>
      <c r="T59" s="3">
        <f t="shared" si="24"/>
        <v>0</v>
      </c>
      <c r="U59" s="4">
        <f t="shared" ca="1" si="22"/>
        <v>0</v>
      </c>
      <c r="V59" s="5">
        <f t="shared" si="25"/>
        <v>0</v>
      </c>
      <c r="W59" s="6">
        <f t="shared" si="26"/>
        <v>0</v>
      </c>
      <c r="X59" s="7">
        <f t="shared" si="23"/>
        <v>0</v>
      </c>
      <c r="Y59" s="134"/>
      <c r="Z59" s="135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7"/>
      <c r="AL59" s="135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7"/>
      <c r="AX59" s="16"/>
      <c r="AY59" s="138">
        <v>0</v>
      </c>
      <c r="AZ59" s="8">
        <f t="shared" si="16"/>
        <v>0</v>
      </c>
      <c r="BA59" s="139">
        <v>0</v>
      </c>
      <c r="BB59" s="9" t="e">
        <f t="shared" si="11"/>
        <v>#REF!</v>
      </c>
      <c r="BC59" s="10" t="e">
        <f t="shared" si="17"/>
        <v>#REF!</v>
      </c>
      <c r="BD59" s="11" t="e">
        <f t="shared" si="12"/>
        <v>#REF!</v>
      </c>
      <c r="BF59" s="701" t="e">
        <f t="shared" si="18"/>
        <v>#REF!</v>
      </c>
      <c r="BG59" s="702"/>
      <c r="BH59" s="12" t="e">
        <f t="shared" si="19"/>
        <v>#REF!</v>
      </c>
      <c r="BI59" s="703" t="e">
        <f t="shared" si="20"/>
        <v>#REF!</v>
      </c>
      <c r="BJ59" s="704"/>
      <c r="BK59" s="705" t="e">
        <f>IF(BR59&gt;0,CHOOSE(MATCH(RegimeExecucao,{"Unitário","Global"},0),IF($A59="S",BR59/BN59,""),(BR59/BN59)*100),"")</f>
        <v>#REF!</v>
      </c>
      <c r="BL59" s="706"/>
      <c r="BM59" s="707"/>
      <c r="BN59" s="708" t="e">
        <f>IF(BR59&gt;0,CHOOSE(MATCH(RegimeExecucao,{"Unitário","Global"},0),IF($A59="S",ROUND(P59,arredunit),""),ROUND(R59,arredtot)),"")</f>
        <v>#REF!</v>
      </c>
      <c r="BO59" s="709"/>
      <c r="BP59" s="709"/>
      <c r="BQ59" s="710"/>
      <c r="BR59" s="708" t="e">
        <f t="shared" si="1"/>
        <v>#REF!</v>
      </c>
      <c r="BS59" s="709"/>
      <c r="BT59" s="709"/>
      <c r="BU59" s="710"/>
      <c r="BV59" s="711"/>
      <c r="BW59" s="711"/>
      <c r="BX59" s="711"/>
      <c r="BY59" s="711"/>
      <c r="BZ59" s="711"/>
      <c r="CA59" s="712"/>
      <c r="CB59" s="16"/>
      <c r="CC59" s="16"/>
    </row>
    <row r="60" spans="1:81" ht="26.4">
      <c r="A60" s="59" t="str">
        <f t="shared" si="13"/>
        <v>S</v>
      </c>
      <c r="B60" s="59">
        <f t="shared" si="14"/>
        <v>0</v>
      </c>
      <c r="C60" s="59">
        <f t="shared" ca="1" si="2"/>
        <v>8</v>
      </c>
      <c r="D60" s="59">
        <f t="shared" ca="1" si="3"/>
        <v>2</v>
      </c>
      <c r="E60" s="59">
        <f t="shared" ca="1" si="4"/>
        <v>0</v>
      </c>
      <c r="F60" s="59">
        <f t="shared" ca="1" si="5"/>
        <v>0</v>
      </c>
      <c r="G60" s="59">
        <f t="shared" ca="1" si="6"/>
        <v>5</v>
      </c>
      <c r="H60" s="59">
        <f t="shared" ca="1" si="7"/>
        <v>0</v>
      </c>
      <c r="I60" s="59">
        <f t="shared" ca="1" si="8"/>
        <v>0</v>
      </c>
      <c r="J60" s="59">
        <f t="shared" si="9"/>
        <v>2</v>
      </c>
      <c r="K60" s="127" t="s">
        <v>4</v>
      </c>
      <c r="L60" s="165" t="s">
        <v>133</v>
      </c>
      <c r="M60" s="129" t="s">
        <v>134</v>
      </c>
      <c r="N60" s="130" t="s">
        <v>59</v>
      </c>
      <c r="O60" s="131">
        <v>50</v>
      </c>
      <c r="P60" s="132">
        <v>2.4278</v>
      </c>
      <c r="Q60" s="133">
        <f t="shared" si="15"/>
        <v>0</v>
      </c>
      <c r="R60" s="1">
        <f t="shared" si="21"/>
        <v>121.39</v>
      </c>
      <c r="S60" s="2">
        <f t="shared" ca="1" si="10"/>
        <v>0</v>
      </c>
      <c r="T60" s="3">
        <f t="shared" si="24"/>
        <v>0</v>
      </c>
      <c r="U60" s="4">
        <f t="shared" ca="1" si="22"/>
        <v>0</v>
      </c>
      <c r="V60" s="5">
        <f t="shared" si="25"/>
        <v>0</v>
      </c>
      <c r="W60" s="6">
        <f t="shared" si="26"/>
        <v>0</v>
      </c>
      <c r="X60" s="7">
        <f t="shared" si="23"/>
        <v>0</v>
      </c>
      <c r="Y60" s="134"/>
      <c r="Z60" s="135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7"/>
      <c r="AL60" s="135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7"/>
      <c r="AX60" s="16"/>
      <c r="AY60" s="138">
        <v>0</v>
      </c>
      <c r="AZ60" s="8">
        <f t="shared" si="16"/>
        <v>0</v>
      </c>
      <c r="BA60" s="139">
        <v>0</v>
      </c>
      <c r="BB60" s="9" t="e">
        <f t="shared" si="11"/>
        <v>#REF!</v>
      </c>
      <c r="BC60" s="10" t="e">
        <f t="shared" si="17"/>
        <v>#REF!</v>
      </c>
      <c r="BD60" s="11" t="e">
        <f t="shared" si="12"/>
        <v>#REF!</v>
      </c>
      <c r="BF60" s="701" t="e">
        <f t="shared" si="18"/>
        <v>#REF!</v>
      </c>
      <c r="BG60" s="702"/>
      <c r="BH60" s="12" t="e">
        <f t="shared" si="19"/>
        <v>#REF!</v>
      </c>
      <c r="BI60" s="703" t="e">
        <f t="shared" si="20"/>
        <v>#REF!</v>
      </c>
      <c r="BJ60" s="704"/>
      <c r="BK60" s="705" t="e">
        <f>IF(BR60&gt;0,CHOOSE(MATCH(RegimeExecucao,{"Unitário","Global"},0),IF($A60="S",BR60/BN60,""),(BR60/BN60)*100),"")</f>
        <v>#REF!</v>
      </c>
      <c r="BL60" s="706"/>
      <c r="BM60" s="707"/>
      <c r="BN60" s="708" t="e">
        <f>IF(BR60&gt;0,CHOOSE(MATCH(RegimeExecucao,{"Unitário","Global"},0),IF($A60="S",ROUND(P60,arredunit),""),ROUND(R60,arredtot)),"")</f>
        <v>#REF!</v>
      </c>
      <c r="BO60" s="709"/>
      <c r="BP60" s="709"/>
      <c r="BQ60" s="710"/>
      <c r="BR60" s="708" t="e">
        <f t="shared" si="1"/>
        <v>#REF!</v>
      </c>
      <c r="BS60" s="709"/>
      <c r="BT60" s="709"/>
      <c r="BU60" s="710"/>
      <c r="BV60" s="711"/>
      <c r="BW60" s="711"/>
      <c r="BX60" s="711"/>
      <c r="BY60" s="711"/>
      <c r="BZ60" s="711"/>
      <c r="CA60" s="712"/>
      <c r="CB60" s="16"/>
      <c r="CC60" s="16"/>
    </row>
    <row r="61" spans="1:81" ht="39.6">
      <c r="A61" s="59" t="str">
        <f t="shared" si="13"/>
        <v>S</v>
      </c>
      <c r="B61" s="59">
        <f t="shared" si="14"/>
        <v>0</v>
      </c>
      <c r="C61" s="59">
        <f t="shared" ca="1" si="2"/>
        <v>8</v>
      </c>
      <c r="D61" s="59">
        <f t="shared" ca="1" si="3"/>
        <v>2</v>
      </c>
      <c r="E61" s="59">
        <f t="shared" ca="1" si="4"/>
        <v>0</v>
      </c>
      <c r="F61" s="59">
        <f t="shared" ca="1" si="5"/>
        <v>0</v>
      </c>
      <c r="G61" s="59">
        <f t="shared" ca="1" si="6"/>
        <v>6</v>
      </c>
      <c r="H61" s="59">
        <f t="shared" ca="1" si="7"/>
        <v>0</v>
      </c>
      <c r="I61" s="59">
        <f t="shared" ca="1" si="8"/>
        <v>0</v>
      </c>
      <c r="J61" s="59">
        <f t="shared" si="9"/>
        <v>2</v>
      </c>
      <c r="K61" s="127" t="s">
        <v>4</v>
      </c>
      <c r="L61" s="165" t="s">
        <v>135</v>
      </c>
      <c r="M61" s="129" t="s">
        <v>136</v>
      </c>
      <c r="N61" s="130" t="s">
        <v>43</v>
      </c>
      <c r="O61" s="131">
        <v>26.998698255662589</v>
      </c>
      <c r="P61" s="132">
        <v>38.409999999999997</v>
      </c>
      <c r="Q61" s="133">
        <f t="shared" si="15"/>
        <v>0</v>
      </c>
      <c r="R61" s="1">
        <f t="shared" si="21"/>
        <v>1037.02</v>
      </c>
      <c r="S61" s="2">
        <v>27</v>
      </c>
      <c r="T61" s="3"/>
      <c r="U61" s="4">
        <f t="shared" si="22"/>
        <v>27</v>
      </c>
      <c r="V61" s="5">
        <f t="shared" si="25"/>
        <v>1037.02</v>
      </c>
      <c r="W61" s="6">
        <f t="shared" si="26"/>
        <v>0</v>
      </c>
      <c r="X61" s="7">
        <f t="shared" si="23"/>
        <v>1037.02</v>
      </c>
      <c r="Y61" s="134"/>
      <c r="Z61" s="135">
        <v>27</v>
      </c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7"/>
      <c r="AL61" s="135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7"/>
      <c r="AX61" s="16"/>
      <c r="AY61" s="138">
        <v>0</v>
      </c>
      <c r="AZ61" s="8">
        <f t="shared" si="16"/>
        <v>0</v>
      </c>
      <c r="BA61" s="139">
        <v>0</v>
      </c>
      <c r="BB61" s="9" t="e">
        <f t="shared" si="11"/>
        <v>#REF!</v>
      </c>
      <c r="BC61" s="10" t="e">
        <f t="shared" si="17"/>
        <v>#REF!</v>
      </c>
      <c r="BD61" s="11" t="e">
        <f t="shared" si="12"/>
        <v>#REF!</v>
      </c>
      <c r="BF61" s="701" t="e">
        <f t="shared" si="18"/>
        <v>#REF!</v>
      </c>
      <c r="BG61" s="702"/>
      <c r="BH61" s="12" t="e">
        <f t="shared" si="19"/>
        <v>#REF!</v>
      </c>
      <c r="BI61" s="703" t="e">
        <f t="shared" si="20"/>
        <v>#REF!</v>
      </c>
      <c r="BJ61" s="704"/>
      <c r="BK61" s="705" t="e">
        <f>IF(BR61&gt;0,CHOOSE(MATCH(RegimeExecucao,{"Unitário","Global"},0),IF($A61="S",BR61/BN61,""),(BR61/BN61)*100),"")</f>
        <v>#REF!</v>
      </c>
      <c r="BL61" s="706"/>
      <c r="BM61" s="707"/>
      <c r="BN61" s="708" t="e">
        <f>IF(BR61&gt;0,CHOOSE(MATCH(RegimeExecucao,{"Unitário","Global"},0),IF($A61="S",ROUND(P61,arredunit),""),ROUND(R61,arredtot)),"")</f>
        <v>#REF!</v>
      </c>
      <c r="BO61" s="709"/>
      <c r="BP61" s="709"/>
      <c r="BQ61" s="710"/>
      <c r="BR61" s="708" t="e">
        <f t="shared" si="1"/>
        <v>#REF!</v>
      </c>
      <c r="BS61" s="709"/>
      <c r="BT61" s="709"/>
      <c r="BU61" s="710"/>
      <c r="BV61" s="711"/>
      <c r="BW61" s="711"/>
      <c r="BX61" s="711"/>
      <c r="BY61" s="711"/>
      <c r="BZ61" s="711"/>
      <c r="CA61" s="712"/>
      <c r="CB61" s="16"/>
      <c r="CC61" s="16"/>
    </row>
    <row r="62" spans="1:81">
      <c r="A62" s="59">
        <f t="shared" si="13"/>
        <v>1</v>
      </c>
      <c r="B62" s="59">
        <f t="shared" ca="1" si="14"/>
        <v>5</v>
      </c>
      <c r="C62" s="59">
        <f t="shared" ca="1" si="2"/>
        <v>9</v>
      </c>
      <c r="D62" s="59">
        <f t="shared" ca="1" si="3"/>
        <v>0</v>
      </c>
      <c r="E62" s="59">
        <f t="shared" ca="1" si="4"/>
        <v>0</v>
      </c>
      <c r="F62" s="59">
        <f t="shared" ca="1" si="5"/>
        <v>0</v>
      </c>
      <c r="G62" s="59">
        <f t="shared" ca="1" si="6"/>
        <v>0</v>
      </c>
      <c r="H62" s="59">
        <f t="shared" ca="1" si="7"/>
        <v>27</v>
      </c>
      <c r="I62" s="59">
        <f t="shared" ca="1" si="8"/>
        <v>5</v>
      </c>
      <c r="J62" s="59">
        <f t="shared" si="9"/>
        <v>0</v>
      </c>
      <c r="K62" s="127" t="str">
        <f>CHOOSE(1+LOG(1+2*($J62=3)+4*($J62=2)+8*($J62=1)+16*(AND($L62&lt;&gt;"",$L62&lt;&gt;0,$J62=0))+32*OR($N62&lt;&gt;"",RegimeExecucao="Global",AND($L62="",$M62="",$N62="")),2),"","Nível 4","Nível 3","Nível 2","Meta","Serviço")</f>
        <v>Meta</v>
      </c>
      <c r="L62" s="128">
        <v>9</v>
      </c>
      <c r="M62" s="129" t="s">
        <v>137</v>
      </c>
      <c r="N62" s="130"/>
      <c r="O62" s="131"/>
      <c r="P62" s="132"/>
      <c r="Q62" s="133">
        <f t="shared" si="15"/>
        <v>20723.019999999997</v>
      </c>
      <c r="R62" s="1">
        <f>SUM(R63:R66)</f>
        <v>20723.019999999997</v>
      </c>
      <c r="S62" s="2">
        <f t="shared" ca="1" si="10"/>
        <v>0</v>
      </c>
      <c r="T62" s="3">
        <f t="shared" si="24"/>
        <v>0</v>
      </c>
      <c r="U62" s="4">
        <f t="shared" ca="1" si="22"/>
        <v>0</v>
      </c>
      <c r="V62" s="1">
        <f>SUM(V63:V66)</f>
        <v>2765.4749999999999</v>
      </c>
      <c r="W62" s="1">
        <f>SUM(W63:W66)</f>
        <v>0</v>
      </c>
      <c r="X62" s="7">
        <f t="shared" si="23"/>
        <v>2765.4749999999999</v>
      </c>
      <c r="Y62" s="134"/>
      <c r="Z62" s="135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7"/>
      <c r="AL62" s="135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7"/>
      <c r="AX62" s="16"/>
      <c r="AY62" s="138">
        <v>0</v>
      </c>
      <c r="AZ62" s="8">
        <f t="shared" si="16"/>
        <v>0</v>
      </c>
      <c r="BA62" s="139">
        <v>0</v>
      </c>
      <c r="BB62" s="9" t="e">
        <f t="shared" ca="1" si="11"/>
        <v>#REF!</v>
      </c>
      <c r="BC62" s="10" t="e">
        <f t="shared" ca="1" si="17"/>
        <v>#REF!</v>
      </c>
      <c r="BD62" s="11" t="e">
        <f t="shared" ca="1" si="12"/>
        <v>#REF!</v>
      </c>
      <c r="BF62" s="701" t="e">
        <f t="shared" ca="1" si="18"/>
        <v>#REF!</v>
      </c>
      <c r="BG62" s="702"/>
      <c r="BH62" s="12" t="e">
        <f t="shared" ca="1" si="19"/>
        <v>#REF!</v>
      </c>
      <c r="BI62" s="703" t="e">
        <f t="shared" ca="1" si="20"/>
        <v>#REF!</v>
      </c>
      <c r="BJ62" s="704"/>
      <c r="BK62" s="705" t="e">
        <f ca="1">IF(BR62&gt;0,CHOOSE(MATCH(RegimeExecucao,{"Unitário","Global"},0),IF($A62="S",BR62/BN62,""),(BR62/BN62)*100),"")</f>
        <v>#REF!</v>
      </c>
      <c r="BL62" s="706"/>
      <c r="BM62" s="707"/>
      <c r="BN62" s="708" t="e">
        <f ca="1">IF(BR62&gt;0,CHOOSE(MATCH(RegimeExecucao,{"Unitário","Global"},0),IF($A62="S",ROUND(P62,arredunit),""),ROUND(R62,arredtot)),"")</f>
        <v>#REF!</v>
      </c>
      <c r="BO62" s="709"/>
      <c r="BP62" s="709"/>
      <c r="BQ62" s="710"/>
      <c r="BR62" s="708" t="e">
        <f t="shared" ca="1" si="1"/>
        <v>#REF!</v>
      </c>
      <c r="BS62" s="709"/>
      <c r="BT62" s="709"/>
      <c r="BU62" s="710"/>
      <c r="BV62" s="711"/>
      <c r="BW62" s="711"/>
      <c r="BX62" s="711"/>
      <c r="BY62" s="711"/>
      <c r="BZ62" s="711"/>
      <c r="CA62" s="712"/>
      <c r="CB62" s="16"/>
      <c r="CC62" s="16"/>
    </row>
    <row r="63" spans="1:81" ht="26.4">
      <c r="A63" s="59" t="str">
        <f t="shared" si="13"/>
        <v>S</v>
      </c>
      <c r="B63" s="59">
        <f t="shared" si="14"/>
        <v>0</v>
      </c>
      <c r="C63" s="59">
        <f t="shared" ca="1" si="2"/>
        <v>9</v>
      </c>
      <c r="D63" s="59">
        <f t="shared" ca="1" si="3"/>
        <v>0</v>
      </c>
      <c r="E63" s="59">
        <f t="shared" ca="1" si="4"/>
        <v>0</v>
      </c>
      <c r="F63" s="59">
        <f t="shared" ca="1" si="5"/>
        <v>0</v>
      </c>
      <c r="G63" s="59">
        <f t="shared" ca="1" si="6"/>
        <v>1</v>
      </c>
      <c r="H63" s="59">
        <f t="shared" ca="1" si="7"/>
        <v>0</v>
      </c>
      <c r="I63" s="59">
        <f t="shared" ca="1" si="8"/>
        <v>0</v>
      </c>
      <c r="J63" s="59">
        <f t="shared" si="9"/>
        <v>1</v>
      </c>
      <c r="K63" s="127" t="s">
        <v>4</v>
      </c>
      <c r="L63" s="165" t="s">
        <v>138</v>
      </c>
      <c r="M63" s="129" t="s">
        <v>139</v>
      </c>
      <c r="N63" s="130" t="s">
        <v>43</v>
      </c>
      <c r="O63" s="131">
        <v>208</v>
      </c>
      <c r="P63" s="132">
        <v>26.591105769230769</v>
      </c>
      <c r="Q63" s="133">
        <f t="shared" si="15"/>
        <v>0</v>
      </c>
      <c r="R63" s="1">
        <f t="shared" si="21"/>
        <v>5530.95</v>
      </c>
      <c r="S63" s="2">
        <v>104</v>
      </c>
      <c r="T63" s="3"/>
      <c r="U63" s="4">
        <f t="shared" si="22"/>
        <v>104</v>
      </c>
      <c r="V63" s="5">
        <f t="shared" si="25"/>
        <v>2765.4749999999999</v>
      </c>
      <c r="W63" s="6">
        <f t="shared" si="26"/>
        <v>0</v>
      </c>
      <c r="X63" s="7">
        <f t="shared" si="23"/>
        <v>2765.4749999999999</v>
      </c>
      <c r="Y63" s="134"/>
      <c r="Z63" s="135">
        <v>104</v>
      </c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7"/>
      <c r="AL63" s="135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7"/>
      <c r="AX63" s="16"/>
      <c r="AY63" s="138">
        <v>0</v>
      </c>
      <c r="AZ63" s="8">
        <f t="shared" si="16"/>
        <v>0</v>
      </c>
      <c r="BA63" s="139">
        <v>0</v>
      </c>
      <c r="BB63" s="9" t="e">
        <f t="shared" si="11"/>
        <v>#REF!</v>
      </c>
      <c r="BC63" s="10" t="e">
        <f t="shared" si="17"/>
        <v>#REF!</v>
      </c>
      <c r="BD63" s="11" t="e">
        <f t="shared" si="12"/>
        <v>#REF!</v>
      </c>
      <c r="BF63" s="701" t="e">
        <f t="shared" si="18"/>
        <v>#REF!</v>
      </c>
      <c r="BG63" s="702"/>
      <c r="BH63" s="12" t="e">
        <f t="shared" si="19"/>
        <v>#REF!</v>
      </c>
      <c r="BI63" s="703" t="e">
        <f t="shared" si="20"/>
        <v>#REF!</v>
      </c>
      <c r="BJ63" s="704"/>
      <c r="BK63" s="705" t="e">
        <f>IF(BR63&gt;0,CHOOSE(MATCH(RegimeExecucao,{"Unitário","Global"},0),IF($A63="S",BR63/BN63,""),(BR63/BN63)*100),"")</f>
        <v>#REF!</v>
      </c>
      <c r="BL63" s="706"/>
      <c r="BM63" s="707"/>
      <c r="BN63" s="708" t="e">
        <f>IF(BR63&gt;0,CHOOSE(MATCH(RegimeExecucao,{"Unitário","Global"},0),IF($A63="S",ROUND(P63,arredunit),""),ROUND(R63,arredtot)),"")</f>
        <v>#REF!</v>
      </c>
      <c r="BO63" s="709"/>
      <c r="BP63" s="709"/>
      <c r="BQ63" s="710"/>
      <c r="BR63" s="708" t="e">
        <f t="shared" si="1"/>
        <v>#REF!</v>
      </c>
      <c r="BS63" s="709"/>
      <c r="BT63" s="709"/>
      <c r="BU63" s="710"/>
      <c r="BV63" s="711"/>
      <c r="BW63" s="711"/>
      <c r="BX63" s="711"/>
      <c r="BY63" s="711"/>
      <c r="BZ63" s="711"/>
      <c r="CA63" s="712"/>
      <c r="CB63" s="16"/>
      <c r="CC63" s="16"/>
    </row>
    <row r="64" spans="1:81" ht="26.4">
      <c r="A64" s="59" t="str">
        <f t="shared" si="13"/>
        <v>S</v>
      </c>
      <c r="B64" s="59">
        <f t="shared" si="14"/>
        <v>0</v>
      </c>
      <c r="C64" s="59">
        <f t="shared" ca="1" si="2"/>
        <v>9</v>
      </c>
      <c r="D64" s="59">
        <f t="shared" ca="1" si="3"/>
        <v>0</v>
      </c>
      <c r="E64" s="59">
        <f t="shared" ca="1" si="4"/>
        <v>0</v>
      </c>
      <c r="F64" s="59">
        <f t="shared" ca="1" si="5"/>
        <v>0</v>
      </c>
      <c r="G64" s="59">
        <f t="shared" ca="1" si="6"/>
        <v>2</v>
      </c>
      <c r="H64" s="59">
        <f t="shared" ca="1" si="7"/>
        <v>0</v>
      </c>
      <c r="I64" s="59">
        <f t="shared" ca="1" si="8"/>
        <v>0</v>
      </c>
      <c r="J64" s="59">
        <f t="shared" si="9"/>
        <v>1</v>
      </c>
      <c r="K64" s="127" t="s">
        <v>4</v>
      </c>
      <c r="L64" s="165" t="s">
        <v>140</v>
      </c>
      <c r="M64" s="129" t="s">
        <v>141</v>
      </c>
      <c r="N64" s="130" t="s">
        <v>43</v>
      </c>
      <c r="O64" s="131">
        <v>783</v>
      </c>
      <c r="P64" s="132">
        <v>13.18662835249042</v>
      </c>
      <c r="Q64" s="133">
        <f t="shared" si="15"/>
        <v>0</v>
      </c>
      <c r="R64" s="1">
        <f t="shared" si="21"/>
        <v>10325.129999999999</v>
      </c>
      <c r="S64" s="2">
        <f t="shared" ca="1" si="10"/>
        <v>0</v>
      </c>
      <c r="T64" s="3">
        <f t="shared" si="24"/>
        <v>0</v>
      </c>
      <c r="U64" s="4">
        <f t="shared" ca="1" si="22"/>
        <v>0</v>
      </c>
      <c r="V64" s="5">
        <f t="shared" si="25"/>
        <v>0</v>
      </c>
      <c r="W64" s="6">
        <f t="shared" si="26"/>
        <v>0</v>
      </c>
      <c r="X64" s="7">
        <f t="shared" si="23"/>
        <v>0</v>
      </c>
      <c r="Y64" s="134"/>
      <c r="Z64" s="135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7"/>
      <c r="AL64" s="135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7"/>
      <c r="AX64" s="16"/>
      <c r="AY64" s="138">
        <v>0</v>
      </c>
      <c r="AZ64" s="8">
        <f t="shared" si="16"/>
        <v>0</v>
      </c>
      <c r="BA64" s="139">
        <v>0</v>
      </c>
      <c r="BB64" s="9" t="e">
        <f t="shared" si="11"/>
        <v>#REF!</v>
      </c>
      <c r="BC64" s="10" t="e">
        <f t="shared" si="17"/>
        <v>#REF!</v>
      </c>
      <c r="BD64" s="11" t="e">
        <f t="shared" si="12"/>
        <v>#REF!</v>
      </c>
      <c r="BF64" s="701" t="e">
        <f t="shared" si="18"/>
        <v>#REF!</v>
      </c>
      <c r="BG64" s="702"/>
      <c r="BH64" s="12" t="e">
        <f t="shared" si="19"/>
        <v>#REF!</v>
      </c>
      <c r="BI64" s="703" t="e">
        <f t="shared" si="20"/>
        <v>#REF!</v>
      </c>
      <c r="BJ64" s="704"/>
      <c r="BK64" s="705" t="e">
        <f>IF(BR64&gt;0,CHOOSE(MATCH(RegimeExecucao,{"Unitário","Global"},0),IF($A64="S",BR64/BN64,""),(BR64/BN64)*100),"")</f>
        <v>#REF!</v>
      </c>
      <c r="BL64" s="706"/>
      <c r="BM64" s="707"/>
      <c r="BN64" s="708" t="e">
        <f>IF(BR64&gt;0,CHOOSE(MATCH(RegimeExecucao,{"Unitário","Global"},0),IF($A64="S",ROUND(P64,arredunit),""),ROUND(R64,arredtot)),"")</f>
        <v>#REF!</v>
      </c>
      <c r="BO64" s="709"/>
      <c r="BP64" s="709"/>
      <c r="BQ64" s="710"/>
      <c r="BR64" s="708" t="e">
        <f t="shared" si="1"/>
        <v>#REF!</v>
      </c>
      <c r="BS64" s="709"/>
      <c r="BT64" s="709"/>
      <c r="BU64" s="710"/>
      <c r="BV64" s="711"/>
      <c r="BW64" s="711"/>
      <c r="BX64" s="711"/>
      <c r="BY64" s="711"/>
      <c r="BZ64" s="711"/>
      <c r="CA64" s="712"/>
      <c r="CB64" s="16"/>
      <c r="CC64" s="16"/>
    </row>
    <row r="65" spans="1:81">
      <c r="A65" s="59" t="str">
        <f t="shared" si="13"/>
        <v>S</v>
      </c>
      <c r="B65" s="59">
        <f t="shared" si="14"/>
        <v>0</v>
      </c>
      <c r="C65" s="59">
        <f t="shared" ca="1" si="2"/>
        <v>9</v>
      </c>
      <c r="D65" s="59">
        <f t="shared" ca="1" si="3"/>
        <v>0</v>
      </c>
      <c r="E65" s="59">
        <f t="shared" ca="1" si="4"/>
        <v>0</v>
      </c>
      <c r="F65" s="59">
        <f t="shared" ca="1" si="5"/>
        <v>0</v>
      </c>
      <c r="G65" s="59">
        <f t="shared" ca="1" si="6"/>
        <v>3</v>
      </c>
      <c r="H65" s="59">
        <f t="shared" ca="1" si="7"/>
        <v>0</v>
      </c>
      <c r="I65" s="59">
        <f t="shared" ca="1" si="8"/>
        <v>0</v>
      </c>
      <c r="J65" s="59">
        <f t="shared" si="9"/>
        <v>1</v>
      </c>
      <c r="K65" s="127" t="s">
        <v>4</v>
      </c>
      <c r="L65" s="165" t="s">
        <v>142</v>
      </c>
      <c r="M65" s="129" t="s">
        <v>143</v>
      </c>
      <c r="N65" s="130" t="s">
        <v>43</v>
      </c>
      <c r="O65" s="131">
        <v>4.2595479345284488</v>
      </c>
      <c r="P65" s="132">
        <v>25.66</v>
      </c>
      <c r="Q65" s="133">
        <f t="shared" si="15"/>
        <v>0</v>
      </c>
      <c r="R65" s="1">
        <f t="shared" si="21"/>
        <v>109.3</v>
      </c>
      <c r="S65" s="2">
        <f t="shared" ca="1" si="10"/>
        <v>0</v>
      </c>
      <c r="T65" s="3">
        <f t="shared" si="24"/>
        <v>0</v>
      </c>
      <c r="U65" s="4">
        <f t="shared" ca="1" si="22"/>
        <v>0</v>
      </c>
      <c r="V65" s="5">
        <f t="shared" si="25"/>
        <v>0</v>
      </c>
      <c r="W65" s="6">
        <f t="shared" si="26"/>
        <v>0</v>
      </c>
      <c r="X65" s="7">
        <f t="shared" si="23"/>
        <v>0</v>
      </c>
      <c r="Y65" s="134"/>
      <c r="Z65" s="135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7"/>
      <c r="AL65" s="135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7"/>
      <c r="AX65" s="16"/>
      <c r="AY65" s="138">
        <v>0</v>
      </c>
      <c r="AZ65" s="8">
        <f t="shared" si="16"/>
        <v>0</v>
      </c>
      <c r="BA65" s="139">
        <v>0</v>
      </c>
      <c r="BB65" s="9" t="e">
        <f t="shared" si="11"/>
        <v>#REF!</v>
      </c>
      <c r="BC65" s="10" t="e">
        <f t="shared" si="17"/>
        <v>#REF!</v>
      </c>
      <c r="BD65" s="11" t="e">
        <f t="shared" si="12"/>
        <v>#REF!</v>
      </c>
      <c r="BF65" s="701" t="e">
        <f t="shared" si="18"/>
        <v>#REF!</v>
      </c>
      <c r="BG65" s="702"/>
      <c r="BH65" s="12" t="e">
        <f t="shared" si="19"/>
        <v>#REF!</v>
      </c>
      <c r="BI65" s="703" t="e">
        <f t="shared" si="20"/>
        <v>#REF!</v>
      </c>
      <c r="BJ65" s="704"/>
      <c r="BK65" s="705" t="e">
        <f>IF(BR65&gt;0,CHOOSE(MATCH(RegimeExecucao,{"Unitário","Global"},0),IF($A65="S",BR65/BN65,""),(BR65/BN65)*100),"")</f>
        <v>#REF!</v>
      </c>
      <c r="BL65" s="706"/>
      <c r="BM65" s="707"/>
      <c r="BN65" s="708" t="e">
        <f>IF(BR65&gt;0,CHOOSE(MATCH(RegimeExecucao,{"Unitário","Global"},0),IF($A65="S",ROUND(P65,arredunit),""),ROUND(R65,arredtot)),"")</f>
        <v>#REF!</v>
      </c>
      <c r="BO65" s="709"/>
      <c r="BP65" s="709"/>
      <c r="BQ65" s="710"/>
      <c r="BR65" s="708" t="e">
        <f t="shared" si="1"/>
        <v>#REF!</v>
      </c>
      <c r="BS65" s="709"/>
      <c r="BT65" s="709"/>
      <c r="BU65" s="710"/>
      <c r="BV65" s="711"/>
      <c r="BW65" s="711"/>
      <c r="BX65" s="711"/>
      <c r="BY65" s="711"/>
      <c r="BZ65" s="711"/>
      <c r="CA65" s="712"/>
      <c r="CB65" s="16"/>
      <c r="CC65" s="16"/>
    </row>
    <row r="66" spans="1:81" ht="26.4">
      <c r="A66" s="59" t="str">
        <f t="shared" si="13"/>
        <v>S</v>
      </c>
      <c r="B66" s="59">
        <f t="shared" si="14"/>
        <v>0</v>
      </c>
      <c r="C66" s="59">
        <f t="shared" ca="1" si="2"/>
        <v>9</v>
      </c>
      <c r="D66" s="59">
        <f t="shared" ca="1" si="3"/>
        <v>0</v>
      </c>
      <c r="E66" s="59">
        <f t="shared" ca="1" si="4"/>
        <v>0</v>
      </c>
      <c r="F66" s="59">
        <f t="shared" ca="1" si="5"/>
        <v>0</v>
      </c>
      <c r="G66" s="59">
        <f t="shared" ca="1" si="6"/>
        <v>4</v>
      </c>
      <c r="H66" s="59">
        <f t="shared" ca="1" si="7"/>
        <v>0</v>
      </c>
      <c r="I66" s="59">
        <f t="shared" ca="1" si="8"/>
        <v>0</v>
      </c>
      <c r="J66" s="59">
        <f t="shared" si="9"/>
        <v>1</v>
      </c>
      <c r="K66" s="127" t="s">
        <v>4</v>
      </c>
      <c r="L66" s="165" t="s">
        <v>144</v>
      </c>
      <c r="M66" s="129" t="s">
        <v>145</v>
      </c>
      <c r="N66" s="130" t="s">
        <v>43</v>
      </c>
      <c r="O66" s="131">
        <v>99</v>
      </c>
      <c r="P66" s="132">
        <v>48.056969696969695</v>
      </c>
      <c r="Q66" s="133">
        <f t="shared" si="15"/>
        <v>0</v>
      </c>
      <c r="R66" s="1">
        <f t="shared" si="21"/>
        <v>4757.6399999999994</v>
      </c>
      <c r="S66" s="2">
        <f t="shared" ca="1" si="10"/>
        <v>0</v>
      </c>
      <c r="T66" s="3">
        <f t="shared" si="24"/>
        <v>0</v>
      </c>
      <c r="U66" s="4">
        <f t="shared" ca="1" si="22"/>
        <v>0</v>
      </c>
      <c r="V66" s="5">
        <f t="shared" si="25"/>
        <v>0</v>
      </c>
      <c r="W66" s="6">
        <f t="shared" si="26"/>
        <v>0</v>
      </c>
      <c r="X66" s="7">
        <f t="shared" si="23"/>
        <v>0</v>
      </c>
      <c r="Y66" s="134"/>
      <c r="Z66" s="135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7"/>
      <c r="AL66" s="135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7"/>
      <c r="AX66" s="16"/>
      <c r="AY66" s="138">
        <v>0</v>
      </c>
      <c r="AZ66" s="8">
        <f t="shared" si="16"/>
        <v>0</v>
      </c>
      <c r="BA66" s="139">
        <v>0</v>
      </c>
      <c r="BB66" s="9" t="e">
        <f t="shared" si="11"/>
        <v>#REF!</v>
      </c>
      <c r="BC66" s="10" t="e">
        <f t="shared" si="17"/>
        <v>#REF!</v>
      </c>
      <c r="BD66" s="11" t="e">
        <f t="shared" si="12"/>
        <v>#REF!</v>
      </c>
      <c r="BF66" s="701" t="e">
        <f t="shared" si="18"/>
        <v>#REF!</v>
      </c>
      <c r="BG66" s="702"/>
      <c r="BH66" s="12" t="e">
        <f t="shared" si="19"/>
        <v>#REF!</v>
      </c>
      <c r="BI66" s="703" t="e">
        <f t="shared" si="20"/>
        <v>#REF!</v>
      </c>
      <c r="BJ66" s="704"/>
      <c r="BK66" s="705" t="e">
        <f>IF(BR66&gt;0,CHOOSE(MATCH(RegimeExecucao,{"Unitário","Global"},0),IF($A66="S",BR66/BN66,""),(BR66/BN66)*100),"")</f>
        <v>#REF!</v>
      </c>
      <c r="BL66" s="706"/>
      <c r="BM66" s="707"/>
      <c r="BN66" s="708" t="e">
        <f>IF(BR66&gt;0,CHOOSE(MATCH(RegimeExecucao,{"Unitário","Global"},0),IF($A66="S",ROUND(P66,arredunit),""),ROUND(R66,arredtot)),"")</f>
        <v>#REF!</v>
      </c>
      <c r="BO66" s="709"/>
      <c r="BP66" s="709"/>
      <c r="BQ66" s="710"/>
      <c r="BR66" s="708" t="e">
        <f t="shared" si="1"/>
        <v>#REF!</v>
      </c>
      <c r="BS66" s="709"/>
      <c r="BT66" s="709"/>
      <c r="BU66" s="710"/>
      <c r="BV66" s="711"/>
      <c r="BW66" s="711"/>
      <c r="BX66" s="711"/>
      <c r="BY66" s="711"/>
      <c r="BZ66" s="711"/>
      <c r="CA66" s="712"/>
      <c r="CB66" s="16"/>
      <c r="CC66" s="16"/>
    </row>
    <row r="67" spans="1:81">
      <c r="A67" s="59">
        <f t="shared" si="13"/>
        <v>1</v>
      </c>
      <c r="B67" s="59">
        <f t="shared" ca="1" si="14"/>
        <v>6</v>
      </c>
      <c r="C67" s="59">
        <f t="shared" ca="1" si="2"/>
        <v>10</v>
      </c>
      <c r="D67" s="59">
        <f t="shared" ca="1" si="3"/>
        <v>0</v>
      </c>
      <c r="E67" s="59">
        <f t="shared" ca="1" si="4"/>
        <v>0</v>
      </c>
      <c r="F67" s="59">
        <f t="shared" ca="1" si="5"/>
        <v>0</v>
      </c>
      <c r="G67" s="59">
        <f t="shared" ca="1" si="6"/>
        <v>0</v>
      </c>
      <c r="H67" s="59">
        <f t="shared" ca="1" si="7"/>
        <v>22</v>
      </c>
      <c r="I67" s="59">
        <f t="shared" ca="1" si="8"/>
        <v>6</v>
      </c>
      <c r="J67" s="59">
        <f t="shared" si="9"/>
        <v>0</v>
      </c>
      <c r="K67" s="127" t="str">
        <f>CHOOSE(1+LOG(1+2*($J67=3)+4*($J67=2)+8*($J67=1)+16*(AND($L67&lt;&gt;"",$L67&lt;&gt;0,$J67=0))+32*OR($N67&lt;&gt;"",RegimeExecucao="Global",AND($L67="",$M67="",$N67="")),2),"","Nível 4","Nível 3","Nível 2","Meta","Serviço")</f>
        <v>Meta</v>
      </c>
      <c r="L67" s="128">
        <v>10</v>
      </c>
      <c r="M67" s="129" t="s">
        <v>146</v>
      </c>
      <c r="N67" s="130"/>
      <c r="O67" s="131"/>
      <c r="P67" s="132"/>
      <c r="Q67" s="133">
        <f t="shared" si="15"/>
        <v>11563.460000000001</v>
      </c>
      <c r="R67" s="1">
        <f>SUM(R68:R72)</f>
        <v>11563.460000000001</v>
      </c>
      <c r="S67" s="2">
        <f t="shared" ca="1" si="10"/>
        <v>0</v>
      </c>
      <c r="T67" s="3">
        <f t="shared" si="24"/>
        <v>0</v>
      </c>
      <c r="U67" s="4">
        <f t="shared" ca="1" si="22"/>
        <v>0</v>
      </c>
      <c r="V67" s="1">
        <f>SUM(V68:V72)</f>
        <v>0</v>
      </c>
      <c r="W67" s="1">
        <f>SUM(W68:W72)</f>
        <v>0</v>
      </c>
      <c r="X67" s="7">
        <f t="shared" si="23"/>
        <v>0</v>
      </c>
      <c r="Y67" s="134"/>
      <c r="Z67" s="135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7"/>
      <c r="AL67" s="135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7"/>
      <c r="AX67" s="16"/>
      <c r="AY67" s="138">
        <v>0</v>
      </c>
      <c r="AZ67" s="8">
        <f t="shared" si="16"/>
        <v>0</v>
      </c>
      <c r="BA67" s="139">
        <v>0</v>
      </c>
      <c r="BB67" s="9" t="e">
        <f t="shared" ca="1" si="11"/>
        <v>#REF!</v>
      </c>
      <c r="BC67" s="10" t="e">
        <f t="shared" ca="1" si="17"/>
        <v>#REF!</v>
      </c>
      <c r="BD67" s="11" t="e">
        <f t="shared" ca="1" si="12"/>
        <v>#REF!</v>
      </c>
      <c r="BF67" s="701" t="e">
        <f t="shared" ca="1" si="18"/>
        <v>#REF!</v>
      </c>
      <c r="BG67" s="702"/>
      <c r="BH67" s="12" t="e">
        <f t="shared" ca="1" si="19"/>
        <v>#REF!</v>
      </c>
      <c r="BI67" s="703" t="e">
        <f t="shared" ca="1" si="20"/>
        <v>#REF!</v>
      </c>
      <c r="BJ67" s="704"/>
      <c r="BK67" s="705" t="e">
        <f ca="1">IF(BR67&gt;0,CHOOSE(MATCH(RegimeExecucao,{"Unitário","Global"},0),IF($A67="S",BR67/BN67,""),(BR67/BN67)*100),"")</f>
        <v>#REF!</v>
      </c>
      <c r="BL67" s="706"/>
      <c r="BM67" s="707"/>
      <c r="BN67" s="708" t="e">
        <f ca="1">IF(BR67&gt;0,CHOOSE(MATCH(RegimeExecucao,{"Unitário","Global"},0),IF($A67="S",ROUND(P67,arredunit),""),ROUND(R67,arredtot)),"")</f>
        <v>#REF!</v>
      </c>
      <c r="BO67" s="709"/>
      <c r="BP67" s="709"/>
      <c r="BQ67" s="710"/>
      <c r="BR67" s="708" t="e">
        <f t="shared" ca="1" si="1"/>
        <v>#REF!</v>
      </c>
      <c r="BS67" s="709"/>
      <c r="BT67" s="709"/>
      <c r="BU67" s="710"/>
      <c r="BV67" s="711"/>
      <c r="BW67" s="711"/>
      <c r="BX67" s="711"/>
      <c r="BY67" s="711"/>
      <c r="BZ67" s="711"/>
      <c r="CA67" s="712"/>
      <c r="CB67" s="16"/>
      <c r="CC67" s="16"/>
    </row>
    <row r="68" spans="1:81">
      <c r="A68" s="59" t="str">
        <f t="shared" si="13"/>
        <v>S</v>
      </c>
      <c r="B68" s="59">
        <f t="shared" si="14"/>
        <v>0</v>
      </c>
      <c r="C68" s="59">
        <f t="shared" ca="1" si="2"/>
        <v>10</v>
      </c>
      <c r="D68" s="59">
        <f t="shared" ca="1" si="3"/>
        <v>0</v>
      </c>
      <c r="E68" s="59">
        <f t="shared" ca="1" si="4"/>
        <v>0</v>
      </c>
      <c r="F68" s="59">
        <f t="shared" ca="1" si="5"/>
        <v>0</v>
      </c>
      <c r="G68" s="59">
        <f t="shared" ca="1" si="6"/>
        <v>1</v>
      </c>
      <c r="H68" s="59">
        <f t="shared" ca="1" si="7"/>
        <v>0</v>
      </c>
      <c r="I68" s="59">
        <f t="shared" ca="1" si="8"/>
        <v>0</v>
      </c>
      <c r="J68" s="59">
        <f t="shared" si="9"/>
        <v>1</v>
      </c>
      <c r="K68" s="127" t="s">
        <v>4</v>
      </c>
      <c r="L68" s="165" t="s">
        <v>147</v>
      </c>
      <c r="M68" s="129" t="s">
        <v>148</v>
      </c>
      <c r="N68" s="130" t="s">
        <v>43</v>
      </c>
      <c r="O68" s="131">
        <v>9.999675261414561</v>
      </c>
      <c r="P68" s="132">
        <v>153.97</v>
      </c>
      <c r="Q68" s="133">
        <f t="shared" si="15"/>
        <v>0</v>
      </c>
      <c r="R68" s="1">
        <f t="shared" si="21"/>
        <v>1539.6499999999999</v>
      </c>
      <c r="S68" s="2">
        <f t="shared" ca="1" si="10"/>
        <v>0</v>
      </c>
      <c r="T68" s="3">
        <f t="shared" si="24"/>
        <v>0</v>
      </c>
      <c r="U68" s="4">
        <f t="shared" ca="1" si="22"/>
        <v>0</v>
      </c>
      <c r="V68" s="5">
        <f t="shared" si="25"/>
        <v>0</v>
      </c>
      <c r="W68" s="6">
        <f t="shared" si="26"/>
        <v>0</v>
      </c>
      <c r="X68" s="7">
        <f t="shared" si="23"/>
        <v>0</v>
      </c>
      <c r="Y68" s="134"/>
      <c r="Z68" s="135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7"/>
      <c r="AL68" s="135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7"/>
      <c r="AX68" s="16"/>
      <c r="AY68" s="138">
        <v>0</v>
      </c>
      <c r="AZ68" s="8">
        <f t="shared" si="16"/>
        <v>0</v>
      </c>
      <c r="BA68" s="139">
        <v>0</v>
      </c>
      <c r="BB68" s="9" t="e">
        <f t="shared" si="11"/>
        <v>#REF!</v>
      </c>
      <c r="BC68" s="10" t="e">
        <f t="shared" si="17"/>
        <v>#REF!</v>
      </c>
      <c r="BD68" s="11" t="e">
        <f t="shared" si="12"/>
        <v>#REF!</v>
      </c>
      <c r="BF68" s="701" t="e">
        <f t="shared" si="18"/>
        <v>#REF!</v>
      </c>
      <c r="BG68" s="702"/>
      <c r="BH68" s="12" t="e">
        <f t="shared" si="19"/>
        <v>#REF!</v>
      </c>
      <c r="BI68" s="703" t="e">
        <f t="shared" si="20"/>
        <v>#REF!</v>
      </c>
      <c r="BJ68" s="704"/>
      <c r="BK68" s="705" t="e">
        <f>IF(BR68&gt;0,CHOOSE(MATCH(RegimeExecucao,{"Unitário","Global"},0),IF($A68="S",BR68/BN68,""),(BR68/BN68)*100),"")</f>
        <v>#REF!</v>
      </c>
      <c r="BL68" s="706"/>
      <c r="BM68" s="707"/>
      <c r="BN68" s="708" t="e">
        <f>IF(BR68&gt;0,CHOOSE(MATCH(RegimeExecucao,{"Unitário","Global"},0),IF($A68="S",ROUND(P68,arredunit),""),ROUND(R68,arredtot)),"")</f>
        <v>#REF!</v>
      </c>
      <c r="BO68" s="709"/>
      <c r="BP68" s="709"/>
      <c r="BQ68" s="710"/>
      <c r="BR68" s="708" t="e">
        <f t="shared" si="1"/>
        <v>#REF!</v>
      </c>
      <c r="BS68" s="709"/>
      <c r="BT68" s="709"/>
      <c r="BU68" s="710"/>
      <c r="BV68" s="711"/>
      <c r="BW68" s="711"/>
      <c r="BX68" s="711"/>
      <c r="BY68" s="711"/>
      <c r="BZ68" s="711"/>
      <c r="CA68" s="712"/>
      <c r="CB68" s="16"/>
      <c r="CC68" s="16"/>
    </row>
    <row r="69" spans="1:81">
      <c r="A69" s="59" t="str">
        <f t="shared" si="13"/>
        <v>S</v>
      </c>
      <c r="B69" s="59">
        <f t="shared" si="14"/>
        <v>0</v>
      </c>
      <c r="C69" s="59">
        <f t="shared" ca="1" si="2"/>
        <v>10</v>
      </c>
      <c r="D69" s="59">
        <f t="shared" ca="1" si="3"/>
        <v>0</v>
      </c>
      <c r="E69" s="59">
        <f t="shared" ca="1" si="4"/>
        <v>0</v>
      </c>
      <c r="F69" s="59">
        <f t="shared" ca="1" si="5"/>
        <v>0</v>
      </c>
      <c r="G69" s="59">
        <f t="shared" ca="1" si="6"/>
        <v>2</v>
      </c>
      <c r="H69" s="59">
        <f t="shared" ca="1" si="7"/>
        <v>0</v>
      </c>
      <c r="I69" s="59">
        <f t="shared" ca="1" si="8"/>
        <v>0</v>
      </c>
      <c r="J69" s="59">
        <f t="shared" si="9"/>
        <v>1</v>
      </c>
      <c r="K69" s="127" t="s">
        <v>4</v>
      </c>
      <c r="L69" s="165" t="s">
        <v>149</v>
      </c>
      <c r="M69" s="129" t="s">
        <v>150</v>
      </c>
      <c r="N69" s="130" t="s">
        <v>151</v>
      </c>
      <c r="O69" s="131">
        <v>1</v>
      </c>
      <c r="P69" s="132">
        <v>3449.03</v>
      </c>
      <c r="Q69" s="133">
        <f t="shared" si="15"/>
        <v>0</v>
      </c>
      <c r="R69" s="1">
        <f t="shared" si="21"/>
        <v>3449.03</v>
      </c>
      <c r="S69" s="2">
        <f t="shared" ca="1" si="10"/>
        <v>0</v>
      </c>
      <c r="T69" s="3">
        <f t="shared" si="24"/>
        <v>0</v>
      </c>
      <c r="U69" s="4">
        <f t="shared" ca="1" si="22"/>
        <v>0</v>
      </c>
      <c r="V69" s="5">
        <f t="shared" si="25"/>
        <v>0</v>
      </c>
      <c r="W69" s="6">
        <f t="shared" si="26"/>
        <v>0</v>
      </c>
      <c r="X69" s="7">
        <f t="shared" si="23"/>
        <v>0</v>
      </c>
      <c r="Y69" s="134"/>
      <c r="Z69" s="135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7"/>
      <c r="AL69" s="135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7"/>
      <c r="AX69" s="16"/>
      <c r="AY69" s="138">
        <v>0</v>
      </c>
      <c r="AZ69" s="8">
        <f t="shared" si="16"/>
        <v>0</v>
      </c>
      <c r="BA69" s="139">
        <v>0</v>
      </c>
      <c r="BB69" s="9" t="e">
        <f t="shared" si="11"/>
        <v>#REF!</v>
      </c>
      <c r="BC69" s="10" t="e">
        <f t="shared" si="17"/>
        <v>#REF!</v>
      </c>
      <c r="BD69" s="11" t="e">
        <f t="shared" si="12"/>
        <v>#REF!</v>
      </c>
      <c r="BF69" s="701" t="e">
        <f t="shared" si="18"/>
        <v>#REF!</v>
      </c>
      <c r="BG69" s="702"/>
      <c r="BH69" s="12" t="e">
        <f t="shared" si="19"/>
        <v>#REF!</v>
      </c>
      <c r="BI69" s="703" t="e">
        <f t="shared" si="20"/>
        <v>#REF!</v>
      </c>
      <c r="BJ69" s="704"/>
      <c r="BK69" s="705" t="e">
        <f>IF(BR69&gt;0,CHOOSE(MATCH(RegimeExecucao,{"Unitário","Global"},0),IF($A69="S",BR69/BN69,""),(BR69/BN69)*100),"")</f>
        <v>#REF!</v>
      </c>
      <c r="BL69" s="706"/>
      <c r="BM69" s="707"/>
      <c r="BN69" s="708" t="e">
        <f>IF(BR69&gt;0,CHOOSE(MATCH(RegimeExecucao,{"Unitário","Global"},0),IF($A69="S",ROUND(P69,arredunit),""),ROUND(R69,arredtot)),"")</f>
        <v>#REF!</v>
      </c>
      <c r="BO69" s="709"/>
      <c r="BP69" s="709"/>
      <c r="BQ69" s="710"/>
      <c r="BR69" s="708" t="e">
        <f t="shared" si="1"/>
        <v>#REF!</v>
      </c>
      <c r="BS69" s="709"/>
      <c r="BT69" s="709"/>
      <c r="BU69" s="710"/>
      <c r="BV69" s="711"/>
      <c r="BW69" s="711"/>
      <c r="BX69" s="711"/>
      <c r="BY69" s="711"/>
      <c r="BZ69" s="711"/>
      <c r="CA69" s="712"/>
      <c r="CB69" s="16"/>
      <c r="CC69" s="16"/>
    </row>
    <row r="70" spans="1:81">
      <c r="A70" s="59" t="str">
        <f t="shared" si="13"/>
        <v>S</v>
      </c>
      <c r="B70" s="59">
        <f t="shared" si="14"/>
        <v>0</v>
      </c>
      <c r="C70" s="59">
        <f t="shared" ca="1" si="2"/>
        <v>10</v>
      </c>
      <c r="D70" s="59">
        <f t="shared" ca="1" si="3"/>
        <v>0</v>
      </c>
      <c r="E70" s="59">
        <f t="shared" ca="1" si="4"/>
        <v>0</v>
      </c>
      <c r="F70" s="59">
        <f t="shared" ca="1" si="5"/>
        <v>0</v>
      </c>
      <c r="G70" s="59">
        <f t="shared" ca="1" si="6"/>
        <v>3</v>
      </c>
      <c r="H70" s="59">
        <f t="shared" ca="1" si="7"/>
        <v>0</v>
      </c>
      <c r="I70" s="59">
        <f t="shared" ca="1" si="8"/>
        <v>0</v>
      </c>
      <c r="J70" s="59">
        <f t="shared" si="9"/>
        <v>1</v>
      </c>
      <c r="K70" s="127" t="s">
        <v>4</v>
      </c>
      <c r="L70" s="165" t="s">
        <v>152</v>
      </c>
      <c r="M70" s="129" t="s">
        <v>153</v>
      </c>
      <c r="N70" s="130" t="s">
        <v>151</v>
      </c>
      <c r="O70" s="131">
        <v>1.9999937134594832</v>
      </c>
      <c r="P70" s="132">
        <v>1590.7</v>
      </c>
      <c r="Q70" s="133">
        <f t="shared" si="15"/>
        <v>0</v>
      </c>
      <c r="R70" s="1">
        <f t="shared" si="21"/>
        <v>3181.39</v>
      </c>
      <c r="S70" s="2">
        <f t="shared" ca="1" si="10"/>
        <v>0</v>
      </c>
      <c r="T70" s="3">
        <f t="shared" si="24"/>
        <v>0</v>
      </c>
      <c r="U70" s="4">
        <f t="shared" ca="1" si="22"/>
        <v>0</v>
      </c>
      <c r="V70" s="5">
        <f t="shared" si="25"/>
        <v>0</v>
      </c>
      <c r="W70" s="6">
        <f t="shared" si="26"/>
        <v>0</v>
      </c>
      <c r="X70" s="7">
        <f t="shared" si="23"/>
        <v>0</v>
      </c>
      <c r="Y70" s="134"/>
      <c r="Z70" s="135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7"/>
      <c r="AL70" s="135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7"/>
      <c r="AX70" s="16"/>
      <c r="AY70" s="138">
        <v>0</v>
      </c>
      <c r="AZ70" s="8">
        <f t="shared" si="16"/>
        <v>0</v>
      </c>
      <c r="BA70" s="139">
        <v>0</v>
      </c>
      <c r="BB70" s="9" t="e">
        <f t="shared" si="11"/>
        <v>#REF!</v>
      </c>
      <c r="BC70" s="10" t="e">
        <f t="shared" si="17"/>
        <v>#REF!</v>
      </c>
      <c r="BD70" s="11" t="e">
        <f t="shared" si="12"/>
        <v>#REF!</v>
      </c>
      <c r="BF70" s="701" t="e">
        <f t="shared" si="18"/>
        <v>#REF!</v>
      </c>
      <c r="BG70" s="702"/>
      <c r="BH70" s="12" t="e">
        <f t="shared" si="19"/>
        <v>#REF!</v>
      </c>
      <c r="BI70" s="703" t="e">
        <f t="shared" si="20"/>
        <v>#REF!</v>
      </c>
      <c r="BJ70" s="704"/>
      <c r="BK70" s="705" t="e">
        <f>IF(BR70&gt;0,CHOOSE(MATCH(RegimeExecucao,{"Unitário","Global"},0),IF($A70="S",BR70/BN70,""),(BR70/BN70)*100),"")</f>
        <v>#REF!</v>
      </c>
      <c r="BL70" s="706"/>
      <c r="BM70" s="707"/>
      <c r="BN70" s="708" t="e">
        <f>IF(BR70&gt;0,CHOOSE(MATCH(RegimeExecucao,{"Unitário","Global"},0),IF($A70="S",ROUND(P70,arredunit),""),ROUND(R70,arredtot)),"")</f>
        <v>#REF!</v>
      </c>
      <c r="BO70" s="709"/>
      <c r="BP70" s="709"/>
      <c r="BQ70" s="710"/>
      <c r="BR70" s="708" t="e">
        <f t="shared" si="1"/>
        <v>#REF!</v>
      </c>
      <c r="BS70" s="709"/>
      <c r="BT70" s="709"/>
      <c r="BU70" s="710"/>
      <c r="BV70" s="711"/>
      <c r="BW70" s="711"/>
      <c r="BX70" s="711"/>
      <c r="BY70" s="711"/>
      <c r="BZ70" s="711"/>
      <c r="CA70" s="712"/>
      <c r="CB70" s="16"/>
      <c r="CC70" s="16"/>
    </row>
    <row r="71" spans="1:81">
      <c r="A71" s="59" t="str">
        <f t="shared" si="13"/>
        <v>S</v>
      </c>
      <c r="B71" s="59">
        <f t="shared" si="14"/>
        <v>0</v>
      </c>
      <c r="C71" s="59">
        <f t="shared" ca="1" si="2"/>
        <v>10</v>
      </c>
      <c r="D71" s="59">
        <f t="shared" ca="1" si="3"/>
        <v>0</v>
      </c>
      <c r="E71" s="59">
        <f t="shared" ca="1" si="4"/>
        <v>0</v>
      </c>
      <c r="F71" s="59">
        <f t="shared" ca="1" si="5"/>
        <v>0</v>
      </c>
      <c r="G71" s="59">
        <f t="shared" ca="1" si="6"/>
        <v>4</v>
      </c>
      <c r="H71" s="59">
        <f t="shared" ca="1" si="7"/>
        <v>0</v>
      </c>
      <c r="I71" s="59">
        <f t="shared" ca="1" si="8"/>
        <v>0</v>
      </c>
      <c r="J71" s="59">
        <f t="shared" si="9"/>
        <v>1</v>
      </c>
      <c r="K71" s="127" t="s">
        <v>4</v>
      </c>
      <c r="L71" s="165" t="s">
        <v>154</v>
      </c>
      <c r="M71" s="129" t="s">
        <v>155</v>
      </c>
      <c r="N71" s="130" t="s">
        <v>151</v>
      </c>
      <c r="O71" s="131">
        <v>2</v>
      </c>
      <c r="P71" s="132">
        <v>997.64</v>
      </c>
      <c r="Q71" s="133">
        <f t="shared" si="15"/>
        <v>0</v>
      </c>
      <c r="R71" s="1">
        <f t="shared" si="21"/>
        <v>1995.28</v>
      </c>
      <c r="S71" s="2">
        <f t="shared" ca="1" si="10"/>
        <v>0</v>
      </c>
      <c r="T71" s="3">
        <f t="shared" si="24"/>
        <v>0</v>
      </c>
      <c r="U71" s="4">
        <f t="shared" ca="1" si="22"/>
        <v>0</v>
      </c>
      <c r="V71" s="5">
        <f t="shared" si="25"/>
        <v>0</v>
      </c>
      <c r="W71" s="6">
        <f t="shared" si="26"/>
        <v>0</v>
      </c>
      <c r="X71" s="7">
        <f t="shared" si="23"/>
        <v>0</v>
      </c>
      <c r="Y71" s="134"/>
      <c r="Z71" s="135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7"/>
      <c r="AL71" s="135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7"/>
      <c r="AX71" s="16"/>
      <c r="AY71" s="138">
        <v>0</v>
      </c>
      <c r="AZ71" s="8">
        <f t="shared" si="16"/>
        <v>0</v>
      </c>
      <c r="BA71" s="139">
        <v>0</v>
      </c>
      <c r="BB71" s="9" t="e">
        <f t="shared" si="11"/>
        <v>#REF!</v>
      </c>
      <c r="BC71" s="10" t="e">
        <f t="shared" si="17"/>
        <v>#REF!</v>
      </c>
      <c r="BD71" s="11" t="e">
        <f t="shared" si="12"/>
        <v>#REF!</v>
      </c>
      <c r="BF71" s="701" t="e">
        <f t="shared" si="18"/>
        <v>#REF!</v>
      </c>
      <c r="BG71" s="702"/>
      <c r="BH71" s="12" t="e">
        <f t="shared" si="19"/>
        <v>#REF!</v>
      </c>
      <c r="BI71" s="703" t="e">
        <f t="shared" si="20"/>
        <v>#REF!</v>
      </c>
      <c r="BJ71" s="704"/>
      <c r="BK71" s="705" t="e">
        <f>IF(BR71&gt;0,CHOOSE(MATCH(RegimeExecucao,{"Unitário","Global"},0),IF($A71="S",BR71/BN71,""),(BR71/BN71)*100),"")</f>
        <v>#REF!</v>
      </c>
      <c r="BL71" s="706"/>
      <c r="BM71" s="707"/>
      <c r="BN71" s="708" t="e">
        <f>IF(BR71&gt;0,CHOOSE(MATCH(RegimeExecucao,{"Unitário","Global"},0),IF($A71="S",ROUND(P71,arredunit),""),ROUND(R71,arredtot)),"")</f>
        <v>#REF!</v>
      </c>
      <c r="BO71" s="709"/>
      <c r="BP71" s="709"/>
      <c r="BQ71" s="710"/>
      <c r="BR71" s="708" t="e">
        <f t="shared" si="1"/>
        <v>#REF!</v>
      </c>
      <c r="BS71" s="709"/>
      <c r="BT71" s="709"/>
      <c r="BU71" s="710"/>
      <c r="BV71" s="711"/>
      <c r="BW71" s="711"/>
      <c r="BX71" s="711"/>
      <c r="BY71" s="711"/>
      <c r="BZ71" s="711"/>
      <c r="CA71" s="712"/>
      <c r="CB71" s="16"/>
      <c r="CC71" s="16"/>
    </row>
    <row r="72" spans="1:81">
      <c r="A72" s="59" t="str">
        <f t="shared" si="13"/>
        <v>S</v>
      </c>
      <c r="B72" s="59">
        <f t="shared" si="14"/>
        <v>0</v>
      </c>
      <c r="C72" s="59">
        <f t="shared" ca="1" si="2"/>
        <v>10</v>
      </c>
      <c r="D72" s="59">
        <f t="shared" ca="1" si="3"/>
        <v>0</v>
      </c>
      <c r="E72" s="59">
        <f t="shared" ca="1" si="4"/>
        <v>0</v>
      </c>
      <c r="F72" s="59">
        <f t="shared" ca="1" si="5"/>
        <v>0</v>
      </c>
      <c r="G72" s="59">
        <f t="shared" ca="1" si="6"/>
        <v>5</v>
      </c>
      <c r="H72" s="59">
        <f t="shared" ca="1" si="7"/>
        <v>0</v>
      </c>
      <c r="I72" s="59">
        <f t="shared" ca="1" si="8"/>
        <v>0</v>
      </c>
      <c r="J72" s="59">
        <f t="shared" si="9"/>
        <v>1</v>
      </c>
      <c r="K72" s="127" t="s">
        <v>4</v>
      </c>
      <c r="L72" s="165" t="s">
        <v>156</v>
      </c>
      <c r="M72" s="129" t="s">
        <v>157</v>
      </c>
      <c r="N72" s="130" t="s">
        <v>151</v>
      </c>
      <c r="O72" s="131">
        <v>1</v>
      </c>
      <c r="P72" s="132">
        <v>1398.11</v>
      </c>
      <c r="Q72" s="133">
        <f t="shared" si="15"/>
        <v>0</v>
      </c>
      <c r="R72" s="1">
        <f t="shared" si="21"/>
        <v>1398.11</v>
      </c>
      <c r="S72" s="2">
        <f t="shared" ca="1" si="10"/>
        <v>0</v>
      </c>
      <c r="T72" s="3">
        <f t="shared" si="24"/>
        <v>0</v>
      </c>
      <c r="U72" s="4">
        <f t="shared" ca="1" si="22"/>
        <v>0</v>
      </c>
      <c r="V72" s="5">
        <f t="shared" si="25"/>
        <v>0</v>
      </c>
      <c r="W72" s="6">
        <f t="shared" si="26"/>
        <v>0</v>
      </c>
      <c r="X72" s="7">
        <f t="shared" si="23"/>
        <v>0</v>
      </c>
      <c r="Y72" s="134"/>
      <c r="Z72" s="135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7"/>
      <c r="AL72" s="135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7"/>
      <c r="AX72" s="16"/>
      <c r="AY72" s="138">
        <v>0</v>
      </c>
      <c r="AZ72" s="8">
        <f t="shared" si="16"/>
        <v>0</v>
      </c>
      <c r="BA72" s="139">
        <v>0</v>
      </c>
      <c r="BB72" s="9" t="e">
        <f t="shared" si="11"/>
        <v>#REF!</v>
      </c>
      <c r="BC72" s="10" t="e">
        <f t="shared" si="17"/>
        <v>#REF!</v>
      </c>
      <c r="BD72" s="11" t="e">
        <f t="shared" si="12"/>
        <v>#REF!</v>
      </c>
      <c r="BF72" s="701" t="e">
        <f t="shared" si="18"/>
        <v>#REF!</v>
      </c>
      <c r="BG72" s="702"/>
      <c r="BH72" s="12" t="e">
        <f t="shared" si="19"/>
        <v>#REF!</v>
      </c>
      <c r="BI72" s="703" t="e">
        <f t="shared" si="20"/>
        <v>#REF!</v>
      </c>
      <c r="BJ72" s="704"/>
      <c r="BK72" s="705" t="e">
        <f>IF(BR72&gt;0,CHOOSE(MATCH(RegimeExecucao,{"Unitário","Global"},0),IF($A72="S",BR72/BN72,""),(BR72/BN72)*100),"")</f>
        <v>#REF!</v>
      </c>
      <c r="BL72" s="706"/>
      <c r="BM72" s="707"/>
      <c r="BN72" s="708" t="e">
        <f>IF(BR72&gt;0,CHOOSE(MATCH(RegimeExecucao,{"Unitário","Global"},0),IF($A72="S",ROUND(P72,arredunit),""),ROUND(R72,arredtot)),"")</f>
        <v>#REF!</v>
      </c>
      <c r="BO72" s="709"/>
      <c r="BP72" s="709"/>
      <c r="BQ72" s="710"/>
      <c r="BR72" s="708" t="e">
        <f t="shared" si="1"/>
        <v>#REF!</v>
      </c>
      <c r="BS72" s="709"/>
      <c r="BT72" s="709"/>
      <c r="BU72" s="710"/>
      <c r="BV72" s="711"/>
      <c r="BW72" s="711"/>
      <c r="BX72" s="711"/>
      <c r="BY72" s="711"/>
      <c r="BZ72" s="711"/>
      <c r="CA72" s="712"/>
      <c r="CB72" s="16"/>
      <c r="CC72" s="16"/>
    </row>
    <row r="73" spans="1:81">
      <c r="A73" s="59">
        <f t="shared" si="13"/>
        <v>1</v>
      </c>
      <c r="B73" s="59">
        <f t="shared" ca="1" si="14"/>
        <v>10</v>
      </c>
      <c r="C73" s="59">
        <f t="shared" ca="1" si="2"/>
        <v>11</v>
      </c>
      <c r="D73" s="59">
        <f t="shared" ca="1" si="3"/>
        <v>0</v>
      </c>
      <c r="E73" s="59">
        <f t="shared" ca="1" si="4"/>
        <v>0</v>
      </c>
      <c r="F73" s="59">
        <f t="shared" ca="1" si="5"/>
        <v>0</v>
      </c>
      <c r="G73" s="59">
        <f t="shared" ca="1" si="6"/>
        <v>0</v>
      </c>
      <c r="H73" s="59">
        <f t="shared" ca="1" si="7"/>
        <v>16</v>
      </c>
      <c r="I73" s="59">
        <f t="shared" ca="1" si="8"/>
        <v>10</v>
      </c>
      <c r="J73" s="59">
        <f t="shared" si="9"/>
        <v>0</v>
      </c>
      <c r="K73" s="127" t="str">
        <f>CHOOSE(1+LOG(1+2*($J73=3)+4*($J73=2)+8*($J73=1)+16*(AND($L73&lt;&gt;"",$L73&lt;&gt;0,$J73=0))+32*OR($N73&lt;&gt;"",RegimeExecucao="Global",AND($L73="",$M73="",$N73="")),2),"","Nível 4","Nível 3","Nível 2","Meta","Serviço")</f>
        <v>Meta</v>
      </c>
      <c r="L73" s="128">
        <v>11</v>
      </c>
      <c r="M73" s="129" t="s">
        <v>158</v>
      </c>
      <c r="N73" s="130"/>
      <c r="O73" s="131"/>
      <c r="P73" s="132"/>
      <c r="Q73" s="133">
        <f t="shared" si="15"/>
        <v>75679.460000000006</v>
      </c>
      <c r="R73" s="1">
        <f>SUM(R74:R82)</f>
        <v>75679.460000000006</v>
      </c>
      <c r="S73" s="2">
        <f t="shared" ca="1" si="10"/>
        <v>0</v>
      </c>
      <c r="T73" s="3">
        <f t="shared" si="24"/>
        <v>0</v>
      </c>
      <c r="U73" s="4">
        <f t="shared" ca="1" si="22"/>
        <v>0</v>
      </c>
      <c r="V73" s="1">
        <f>SUM(V74:V82)</f>
        <v>0</v>
      </c>
      <c r="W73" s="1">
        <f>SUM(W74:W82)</f>
        <v>0</v>
      </c>
      <c r="X73" s="7">
        <f t="shared" si="23"/>
        <v>0</v>
      </c>
      <c r="Y73" s="134"/>
      <c r="Z73" s="135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7"/>
      <c r="AL73" s="135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7"/>
      <c r="AX73" s="16"/>
      <c r="AY73" s="138">
        <v>0</v>
      </c>
      <c r="AZ73" s="8">
        <f t="shared" si="16"/>
        <v>0</v>
      </c>
      <c r="BA73" s="139">
        <v>0</v>
      </c>
      <c r="BB73" s="9" t="e">
        <f t="shared" ca="1" si="11"/>
        <v>#REF!</v>
      </c>
      <c r="BC73" s="10" t="e">
        <f t="shared" ca="1" si="17"/>
        <v>#REF!</v>
      </c>
      <c r="BD73" s="11" t="e">
        <f t="shared" ca="1" si="12"/>
        <v>#REF!</v>
      </c>
      <c r="BF73" s="701" t="e">
        <f t="shared" ca="1" si="18"/>
        <v>#REF!</v>
      </c>
      <c r="BG73" s="702"/>
      <c r="BH73" s="12" t="e">
        <f t="shared" ca="1" si="19"/>
        <v>#REF!</v>
      </c>
      <c r="BI73" s="703" t="e">
        <f t="shared" ca="1" si="20"/>
        <v>#REF!</v>
      </c>
      <c r="BJ73" s="704"/>
      <c r="BK73" s="705" t="e">
        <f ca="1">IF(BR73&gt;0,CHOOSE(MATCH(RegimeExecucao,{"Unitário","Global"},0),IF($A73="S",BR73/BN73,""),(BR73/BN73)*100),"")</f>
        <v>#REF!</v>
      </c>
      <c r="BL73" s="706"/>
      <c r="BM73" s="707"/>
      <c r="BN73" s="708" t="e">
        <f ca="1">IF(BR73&gt;0,CHOOSE(MATCH(RegimeExecucao,{"Unitário","Global"},0),IF($A73="S",ROUND(P73,arredunit),""),ROUND(R73,arredtot)),"")</f>
        <v>#REF!</v>
      </c>
      <c r="BO73" s="709"/>
      <c r="BP73" s="709"/>
      <c r="BQ73" s="710"/>
      <c r="BR73" s="708" t="e">
        <f t="shared" ca="1" si="1"/>
        <v>#REF!</v>
      </c>
      <c r="BS73" s="709"/>
      <c r="BT73" s="709"/>
      <c r="BU73" s="710"/>
      <c r="BV73" s="711"/>
      <c r="BW73" s="711"/>
      <c r="BX73" s="711"/>
      <c r="BY73" s="711"/>
      <c r="BZ73" s="711"/>
      <c r="CA73" s="712"/>
      <c r="CB73" s="16"/>
      <c r="CC73" s="16"/>
    </row>
    <row r="74" spans="1:81">
      <c r="A74" s="59" t="str">
        <f t="shared" si="13"/>
        <v>S</v>
      </c>
      <c r="B74" s="59">
        <f t="shared" si="14"/>
        <v>0</v>
      </c>
      <c r="C74" s="59">
        <f t="shared" ca="1" si="2"/>
        <v>11</v>
      </c>
      <c r="D74" s="59">
        <f t="shared" ca="1" si="3"/>
        <v>0</v>
      </c>
      <c r="E74" s="59">
        <f t="shared" ca="1" si="4"/>
        <v>0</v>
      </c>
      <c r="F74" s="59">
        <f t="shared" ca="1" si="5"/>
        <v>0</v>
      </c>
      <c r="G74" s="59">
        <f t="shared" ca="1" si="6"/>
        <v>1</v>
      </c>
      <c r="H74" s="59">
        <f t="shared" ca="1" si="7"/>
        <v>0</v>
      </c>
      <c r="I74" s="59">
        <f t="shared" ca="1" si="8"/>
        <v>0</v>
      </c>
      <c r="J74" s="59">
        <f t="shared" si="9"/>
        <v>1</v>
      </c>
      <c r="K74" s="127" t="s">
        <v>4</v>
      </c>
      <c r="L74" s="165" t="s">
        <v>159</v>
      </c>
      <c r="M74" s="129" t="s">
        <v>160</v>
      </c>
      <c r="N74" s="130" t="s">
        <v>43</v>
      </c>
      <c r="O74" s="131">
        <v>386.9</v>
      </c>
      <c r="P74" s="132">
        <v>168.20987335228742</v>
      </c>
      <c r="Q74" s="133">
        <f t="shared" si="15"/>
        <v>0</v>
      </c>
      <c r="R74" s="1">
        <f t="shared" si="21"/>
        <v>65080.399999999994</v>
      </c>
      <c r="S74" s="2">
        <f t="shared" ca="1" si="10"/>
        <v>0</v>
      </c>
      <c r="T74" s="3">
        <f t="shared" si="24"/>
        <v>0</v>
      </c>
      <c r="U74" s="4">
        <f t="shared" ca="1" si="22"/>
        <v>0</v>
      </c>
      <c r="V74" s="5">
        <f t="shared" si="25"/>
        <v>0</v>
      </c>
      <c r="W74" s="6">
        <f t="shared" si="26"/>
        <v>0</v>
      </c>
      <c r="X74" s="7">
        <f t="shared" si="23"/>
        <v>0</v>
      </c>
      <c r="Y74" s="134"/>
      <c r="Z74" s="135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7"/>
      <c r="AL74" s="135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7"/>
      <c r="AX74" s="16"/>
      <c r="AY74" s="138">
        <v>0</v>
      </c>
      <c r="AZ74" s="8">
        <f t="shared" si="16"/>
        <v>0</v>
      </c>
      <c r="BA74" s="139">
        <v>0</v>
      </c>
      <c r="BB74" s="9" t="e">
        <f t="shared" si="11"/>
        <v>#REF!</v>
      </c>
      <c r="BC74" s="10" t="e">
        <f t="shared" si="17"/>
        <v>#REF!</v>
      </c>
      <c r="BD74" s="11" t="e">
        <f t="shared" si="12"/>
        <v>#REF!</v>
      </c>
      <c r="BF74" s="701" t="e">
        <f t="shared" si="18"/>
        <v>#REF!</v>
      </c>
      <c r="BG74" s="702"/>
      <c r="BH74" s="12" t="e">
        <f t="shared" si="19"/>
        <v>#REF!</v>
      </c>
      <c r="BI74" s="703" t="e">
        <f t="shared" si="20"/>
        <v>#REF!</v>
      </c>
      <c r="BJ74" s="704"/>
      <c r="BK74" s="705" t="e">
        <f>IF(BR74&gt;0,CHOOSE(MATCH(RegimeExecucao,{"Unitário","Global"},0),IF($A74="S",BR74/BN74,""),(BR74/BN74)*100),"")</f>
        <v>#REF!</v>
      </c>
      <c r="BL74" s="706"/>
      <c r="BM74" s="707"/>
      <c r="BN74" s="708" t="e">
        <f>IF(BR74&gt;0,CHOOSE(MATCH(RegimeExecucao,{"Unitário","Global"},0),IF($A74="S",ROUND(P74,arredunit),""),ROUND(R74,arredtot)),"")</f>
        <v>#REF!</v>
      </c>
      <c r="BO74" s="709"/>
      <c r="BP74" s="709"/>
      <c r="BQ74" s="710"/>
      <c r="BR74" s="708" t="e">
        <f t="shared" si="1"/>
        <v>#REF!</v>
      </c>
      <c r="BS74" s="709"/>
      <c r="BT74" s="709"/>
      <c r="BU74" s="710"/>
      <c r="BV74" s="711"/>
      <c r="BW74" s="711"/>
      <c r="BX74" s="711"/>
      <c r="BY74" s="711"/>
      <c r="BZ74" s="711"/>
      <c r="CA74" s="712"/>
      <c r="CB74" s="16"/>
      <c r="CC74" s="16"/>
    </row>
    <row r="75" spans="1:81" ht="26.4">
      <c r="A75" s="59" t="str">
        <f t="shared" si="13"/>
        <v>S</v>
      </c>
      <c r="B75" s="59">
        <f t="shared" si="14"/>
        <v>0</v>
      </c>
      <c r="C75" s="59">
        <f t="shared" ca="1" si="2"/>
        <v>11</v>
      </c>
      <c r="D75" s="59">
        <f t="shared" ca="1" si="3"/>
        <v>0</v>
      </c>
      <c r="E75" s="59">
        <f t="shared" ca="1" si="4"/>
        <v>0</v>
      </c>
      <c r="F75" s="59">
        <f t="shared" ca="1" si="5"/>
        <v>0</v>
      </c>
      <c r="G75" s="59">
        <f t="shared" ca="1" si="6"/>
        <v>2</v>
      </c>
      <c r="H75" s="59">
        <f t="shared" ca="1" si="7"/>
        <v>0</v>
      </c>
      <c r="I75" s="59">
        <f t="shared" ca="1" si="8"/>
        <v>0</v>
      </c>
      <c r="J75" s="59">
        <f t="shared" si="9"/>
        <v>1</v>
      </c>
      <c r="K75" s="127" t="s">
        <v>4</v>
      </c>
      <c r="L75" s="165" t="s">
        <v>161</v>
      </c>
      <c r="M75" s="129" t="s">
        <v>162</v>
      </c>
      <c r="N75" s="130" t="s">
        <v>93</v>
      </c>
      <c r="O75" s="131">
        <v>8.0000939165551408</v>
      </c>
      <c r="P75" s="132">
        <v>425.91</v>
      </c>
      <c r="Q75" s="133">
        <f t="shared" si="15"/>
        <v>0</v>
      </c>
      <c r="R75" s="1">
        <f t="shared" si="21"/>
        <v>3407.32</v>
      </c>
      <c r="S75" s="2">
        <f t="shared" ca="1" si="10"/>
        <v>0</v>
      </c>
      <c r="T75" s="3">
        <f t="shared" si="24"/>
        <v>0</v>
      </c>
      <c r="U75" s="4">
        <f t="shared" ca="1" si="22"/>
        <v>0</v>
      </c>
      <c r="V75" s="5">
        <f t="shared" si="25"/>
        <v>0</v>
      </c>
      <c r="W75" s="6">
        <f t="shared" si="26"/>
        <v>0</v>
      </c>
      <c r="X75" s="7">
        <f t="shared" si="23"/>
        <v>0</v>
      </c>
      <c r="Y75" s="134"/>
      <c r="Z75" s="135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7"/>
      <c r="AL75" s="135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7"/>
      <c r="AX75" s="16"/>
      <c r="AY75" s="138">
        <v>0</v>
      </c>
      <c r="AZ75" s="8">
        <f t="shared" si="16"/>
        <v>0</v>
      </c>
      <c r="BA75" s="139">
        <v>0</v>
      </c>
      <c r="BB75" s="9" t="e">
        <f t="shared" si="11"/>
        <v>#REF!</v>
      </c>
      <c r="BC75" s="10" t="e">
        <f t="shared" si="17"/>
        <v>#REF!</v>
      </c>
      <c r="BD75" s="11" t="e">
        <f t="shared" si="12"/>
        <v>#REF!</v>
      </c>
      <c r="BF75" s="701" t="e">
        <f t="shared" si="18"/>
        <v>#REF!</v>
      </c>
      <c r="BG75" s="702"/>
      <c r="BH75" s="12" t="e">
        <f t="shared" si="19"/>
        <v>#REF!</v>
      </c>
      <c r="BI75" s="703" t="e">
        <f t="shared" si="20"/>
        <v>#REF!</v>
      </c>
      <c r="BJ75" s="704"/>
      <c r="BK75" s="705" t="e">
        <f>IF(BR75&gt;0,CHOOSE(MATCH(RegimeExecucao,{"Unitário","Global"},0),IF($A75="S",BR75/BN75,""),(BR75/BN75)*100),"")</f>
        <v>#REF!</v>
      </c>
      <c r="BL75" s="706"/>
      <c r="BM75" s="707"/>
      <c r="BN75" s="708" t="e">
        <f>IF(BR75&gt;0,CHOOSE(MATCH(RegimeExecucao,{"Unitário","Global"},0),IF($A75="S",ROUND(P75,arredunit),""),ROUND(R75,arredtot)),"")</f>
        <v>#REF!</v>
      </c>
      <c r="BO75" s="709"/>
      <c r="BP75" s="709"/>
      <c r="BQ75" s="710"/>
      <c r="BR75" s="708" t="e">
        <f t="shared" ref="BR75:BR87" si="27">$X75-$BD75</f>
        <v>#REF!</v>
      </c>
      <c r="BS75" s="709"/>
      <c r="BT75" s="709"/>
      <c r="BU75" s="710"/>
      <c r="BV75" s="711"/>
      <c r="BW75" s="711"/>
      <c r="BX75" s="711"/>
      <c r="BY75" s="711"/>
      <c r="BZ75" s="711"/>
      <c r="CA75" s="712"/>
      <c r="CB75" s="16"/>
      <c r="CC75" s="16"/>
    </row>
    <row r="76" spans="1:81" ht="39.6">
      <c r="A76" s="59" t="str">
        <f t="shared" si="13"/>
        <v>S</v>
      </c>
      <c r="B76" s="59">
        <f t="shared" si="14"/>
        <v>0</v>
      </c>
      <c r="C76" s="59">
        <f t="shared" ref="C76:C87" ca="1" si="28">IF($A76=1,OFFSET(C76,-1,0)+1,OFFSET(C76,-1,0))</f>
        <v>11</v>
      </c>
      <c r="D76" s="59">
        <f t="shared" ref="D76:D87" ca="1" si="29">IF($A76=1,0,IF($A76=2,OFFSET(D76,-1,0)+1,OFFSET(D76,-1,0)))</f>
        <v>0</v>
      </c>
      <c r="E76" s="59">
        <f t="shared" ref="E76:E87" ca="1" si="30">IF(AND($A76&lt;=2,$A76&lt;&gt;0),0,IF($A76=3,OFFSET(E76,-1,0)+1,OFFSET(E76,-1,0)))</f>
        <v>0</v>
      </c>
      <c r="F76" s="59">
        <f t="shared" ref="F76:F87" ca="1" si="31">IF(AND($A76&lt;=3,$A76&lt;&gt;0),0,IF($A76=4,OFFSET(F76,-1,0)+1,OFFSET(F76,-1,0)))</f>
        <v>0</v>
      </c>
      <c r="G76" s="59">
        <f t="shared" ref="G76:G87" ca="1" si="32">IF(AND($A76&lt;=4,$A76&lt;&gt;0),0,IF($A76="S",OFFSET(G76,-1,0)+1,OFFSET(G76,-1,0)))</f>
        <v>3</v>
      </c>
      <c r="H76" s="59">
        <f t="shared" ref="H76:H87" ca="1" si="33">IF(OR($A76="S",$A76=0),0,MATCH(0,OFFSET($B76,1,$A76,ROW($A$89)-ROW($A76)),0))</f>
        <v>0</v>
      </c>
      <c r="I76" s="59">
        <f t="shared" ref="I76:I87" ca="1" si="34">IF(OR($A76="S",$A76=0),0,MATCH(OFFSET($B76,0,$A76)+1,OFFSET($B76,1,$A76,ROW($A$89)-ROW($A76)),0))</f>
        <v>0</v>
      </c>
      <c r="J76" s="59">
        <f t="shared" ref="J76:J87" si="35">LEN(LEFT($L76,LEN($L76)-1*(RIGHT($L76,1)=".")))-LEN(SUBSTITUTE(LEFT($L76,LEN($L76)-1*(RIGHT($L76,1)=".")),".",""))</f>
        <v>1</v>
      </c>
      <c r="K76" s="127" t="s">
        <v>4</v>
      </c>
      <c r="L76" s="165" t="s">
        <v>163</v>
      </c>
      <c r="M76" s="129" t="s">
        <v>164</v>
      </c>
      <c r="N76" s="130" t="s">
        <v>59</v>
      </c>
      <c r="O76" s="131">
        <v>360</v>
      </c>
      <c r="P76" s="132">
        <v>2.811638888888889</v>
      </c>
      <c r="Q76" s="133">
        <f t="shared" si="15"/>
        <v>0</v>
      </c>
      <c r="R76" s="1">
        <f t="shared" si="21"/>
        <v>1012.19</v>
      </c>
      <c r="S76" s="2">
        <f ca="1">IF(AND($A76="S",COUNTIF($Z$10:$AW$10,mediçao-1)&gt;0),SUM(OFFSET($Z76,0,0,1,MATCH(mediçao-1,$Z$10:$AW$10,0))),IF(AND(RegimeExecucao="Global",$R76&gt;0,COUNTIF($Z$10:$AW$10,mediçao-1)&gt;0),V76/$R76*100,0))</f>
        <v>0</v>
      </c>
      <c r="T76" s="3">
        <f t="shared" si="24"/>
        <v>0</v>
      </c>
      <c r="U76" s="4">
        <f t="shared" ca="1" si="22"/>
        <v>0</v>
      </c>
      <c r="V76" s="5">
        <f t="shared" si="25"/>
        <v>0</v>
      </c>
      <c r="W76" s="6">
        <f t="shared" si="26"/>
        <v>0</v>
      </c>
      <c r="X76" s="7">
        <f t="shared" si="23"/>
        <v>0</v>
      </c>
      <c r="Y76" s="134"/>
      <c r="Z76" s="135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7"/>
      <c r="AL76" s="135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7"/>
      <c r="AX76" s="16"/>
      <c r="AY76" s="138">
        <v>0</v>
      </c>
      <c r="AZ76" s="8">
        <f t="shared" si="16"/>
        <v>0</v>
      </c>
      <c r="BA76" s="139">
        <v>0</v>
      </c>
      <c r="BB76" s="9" t="e">
        <f>IF($A76="S",VTOTAL,IF($A76=0,0,ROUND(SomaAgrup,arredtot)))</f>
        <v>#REF!</v>
      </c>
      <c r="BC76" s="10" t="e">
        <f t="shared" si="17"/>
        <v>#REF!</v>
      </c>
      <c r="BD76" s="11" t="e">
        <f>IF($A76="S",VTOTAL,IF($A76=0,0,ROUND(SomaAgrup,arredtot)))</f>
        <v>#REF!</v>
      </c>
      <c r="BF76" s="701" t="e">
        <f t="shared" si="18"/>
        <v>#REF!</v>
      </c>
      <c r="BG76" s="702"/>
      <c r="BH76" s="12" t="e">
        <f t="shared" si="19"/>
        <v>#REF!</v>
      </c>
      <c r="BI76" s="703" t="e">
        <f t="shared" si="20"/>
        <v>#REF!</v>
      </c>
      <c r="BJ76" s="704"/>
      <c r="BK76" s="705" t="e">
        <f>IF(BR76&gt;0,CHOOSE(MATCH(RegimeExecucao,{"Unitário","Global"},0),IF($A76="S",BR76/BN76,""),(BR76/BN76)*100),"")</f>
        <v>#REF!</v>
      </c>
      <c r="BL76" s="706"/>
      <c r="BM76" s="707"/>
      <c r="BN76" s="708" t="e">
        <f>IF(BR76&gt;0,CHOOSE(MATCH(RegimeExecucao,{"Unitário","Global"},0),IF($A76="S",ROUND(P76,arredunit),""),ROUND(R76,arredtot)),"")</f>
        <v>#REF!</v>
      </c>
      <c r="BO76" s="709"/>
      <c r="BP76" s="709"/>
      <c r="BQ76" s="710"/>
      <c r="BR76" s="708" t="e">
        <f t="shared" si="27"/>
        <v>#REF!</v>
      </c>
      <c r="BS76" s="709"/>
      <c r="BT76" s="709"/>
      <c r="BU76" s="710"/>
      <c r="BV76" s="711"/>
      <c r="BW76" s="711"/>
      <c r="BX76" s="711"/>
      <c r="BY76" s="711"/>
      <c r="BZ76" s="711"/>
      <c r="CA76" s="712"/>
      <c r="CB76" s="16"/>
      <c r="CC76" s="16"/>
    </row>
    <row r="77" spans="1:81" ht="39.6">
      <c r="A77" s="59" t="str">
        <f t="shared" ref="A77:A87" si="36">CHOOSE(1+LOG(1+2*(K77="Meta")+4*(K77="Nível 2")+8*(K77="Nível 3")+16*(K77="Nível 4")+32*(K77="Serviço"),2),0,1,2,3,4,"S")</f>
        <v>S</v>
      </c>
      <c r="B77" s="59">
        <f t="shared" ref="B77:B87" si="37">IF(OR(A77="S",A77=0),0,IF(ISERROR(I77),H77,SMALL(H77:I77,1)))</f>
        <v>0</v>
      </c>
      <c r="C77" s="59">
        <f t="shared" ca="1" si="28"/>
        <v>11</v>
      </c>
      <c r="D77" s="59">
        <f t="shared" ca="1" si="29"/>
        <v>0</v>
      </c>
      <c r="E77" s="59">
        <f t="shared" ca="1" si="30"/>
        <v>0</v>
      </c>
      <c r="F77" s="59">
        <f t="shared" ca="1" si="31"/>
        <v>0</v>
      </c>
      <c r="G77" s="59">
        <f t="shared" ca="1" si="32"/>
        <v>4</v>
      </c>
      <c r="H77" s="59">
        <f t="shared" ca="1" si="33"/>
        <v>0</v>
      </c>
      <c r="I77" s="59">
        <f t="shared" ca="1" si="34"/>
        <v>0</v>
      </c>
      <c r="J77" s="59">
        <f t="shared" si="35"/>
        <v>1</v>
      </c>
      <c r="K77" s="127" t="s">
        <v>4</v>
      </c>
      <c r="L77" s="165" t="s">
        <v>165</v>
      </c>
      <c r="M77" s="129" t="s">
        <v>166</v>
      </c>
      <c r="N77" s="130" t="s">
        <v>59</v>
      </c>
      <c r="O77" s="131">
        <v>150</v>
      </c>
      <c r="P77" s="132">
        <v>8.1547333333333345</v>
      </c>
      <c r="Q77" s="133">
        <f t="shared" ref="Q77:Q87" si="38">IF($A77="S",0,$R77)</f>
        <v>0</v>
      </c>
      <c r="R77" s="1">
        <f t="shared" si="21"/>
        <v>1223.2100000000003</v>
      </c>
      <c r="S77" s="2">
        <f ca="1">IF(AND($A77="S",COUNTIF($Z$10:$AW$10,mediçao-1)&gt;0),SUM(OFFSET($Z77,0,0,1,MATCH(mediçao-1,$Z$10:$AW$10,0))),IF(AND(RegimeExecucao="Global",$R77&gt;0,COUNTIF($Z$10:$AW$10,mediçao-1)&gt;0),V77/$R77*100,0))</f>
        <v>0</v>
      </c>
      <c r="T77" s="3">
        <f t="shared" si="24"/>
        <v>0</v>
      </c>
      <c r="U77" s="4">
        <f t="shared" ca="1" si="22"/>
        <v>0</v>
      </c>
      <c r="V77" s="5">
        <f t="shared" si="25"/>
        <v>0</v>
      </c>
      <c r="W77" s="6">
        <f t="shared" si="26"/>
        <v>0</v>
      </c>
      <c r="X77" s="7">
        <f t="shared" si="23"/>
        <v>0</v>
      </c>
      <c r="Y77" s="134"/>
      <c r="Z77" s="135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7"/>
      <c r="AL77" s="135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7"/>
      <c r="AX77" s="16"/>
      <c r="AY77" s="138">
        <v>0</v>
      </c>
      <c r="AZ77" s="8">
        <f t="shared" ref="AZ77:AZ87" si="39">BA77-AY77</f>
        <v>0</v>
      </c>
      <c r="BA77" s="139">
        <v>0</v>
      </c>
      <c r="BB77" s="9" t="e">
        <f>IF($A77="S",VTOTAL,IF($A77=0,0,ROUND(SomaAgrup,arredtot)))</f>
        <v>#REF!</v>
      </c>
      <c r="BC77" s="10" t="e">
        <f t="shared" ref="BC77:BC87" si="40">BD77-BB77</f>
        <v>#REF!</v>
      </c>
      <c r="BD77" s="11" t="e">
        <f>IF($A77="S",VTOTAL,IF($A77=0,0,ROUND(SomaAgrup,arredtot)))</f>
        <v>#REF!</v>
      </c>
      <c r="BF77" s="701" t="e">
        <f t="shared" ref="BF77:BF87" si="41">IF(BK77&gt;0,L77,"")</f>
        <v>#REF!</v>
      </c>
      <c r="BG77" s="702"/>
      <c r="BH77" s="12" t="e">
        <f t="shared" ref="BH77:BH87" si="42">IF(BK77&gt;0,M77,"")</f>
        <v>#REF!</v>
      </c>
      <c r="BI77" s="703" t="e">
        <f t="shared" ref="BI77:BI87" si="43">IF(BK77&gt;0,N77,"")</f>
        <v>#REF!</v>
      </c>
      <c r="BJ77" s="704"/>
      <c r="BK77" s="705" t="e">
        <f>IF(BR77&gt;0,CHOOSE(MATCH(RegimeExecucao,{"Unitário","Global"},0),IF($A77="S",BR77/BN77,""),(BR77/BN77)*100),"")</f>
        <v>#REF!</v>
      </c>
      <c r="BL77" s="706"/>
      <c r="BM77" s="707"/>
      <c r="BN77" s="708" t="e">
        <f>IF(BR77&gt;0,CHOOSE(MATCH(RegimeExecucao,{"Unitário","Global"},0),IF($A77="S",ROUND(P77,arredunit),""),ROUND(R77,arredtot)),"")</f>
        <v>#REF!</v>
      </c>
      <c r="BO77" s="709"/>
      <c r="BP77" s="709"/>
      <c r="BQ77" s="710"/>
      <c r="BR77" s="708" t="e">
        <f t="shared" si="27"/>
        <v>#REF!</v>
      </c>
      <c r="BS77" s="709"/>
      <c r="BT77" s="709"/>
      <c r="BU77" s="710"/>
      <c r="BV77" s="711"/>
      <c r="BW77" s="711"/>
      <c r="BX77" s="711"/>
      <c r="BY77" s="711"/>
      <c r="BZ77" s="711"/>
      <c r="CA77" s="712"/>
      <c r="CB77" s="16"/>
      <c r="CC77" s="16"/>
    </row>
    <row r="78" spans="1:81" ht="26.4">
      <c r="A78" s="59" t="str">
        <f t="shared" si="36"/>
        <v>S</v>
      </c>
      <c r="B78" s="59">
        <f t="shared" si="37"/>
        <v>0</v>
      </c>
      <c r="C78" s="59">
        <f t="shared" ca="1" si="28"/>
        <v>11</v>
      </c>
      <c r="D78" s="59">
        <f t="shared" ca="1" si="29"/>
        <v>0</v>
      </c>
      <c r="E78" s="59">
        <f t="shared" ca="1" si="30"/>
        <v>0</v>
      </c>
      <c r="F78" s="59">
        <f t="shared" ca="1" si="31"/>
        <v>0</v>
      </c>
      <c r="G78" s="59">
        <f t="shared" ca="1" si="32"/>
        <v>5</v>
      </c>
      <c r="H78" s="59">
        <f t="shared" ca="1" si="33"/>
        <v>0</v>
      </c>
      <c r="I78" s="59">
        <f t="shared" ca="1" si="34"/>
        <v>0</v>
      </c>
      <c r="J78" s="59">
        <f t="shared" si="35"/>
        <v>1</v>
      </c>
      <c r="K78" s="127" t="s">
        <v>4</v>
      </c>
      <c r="L78" s="165" t="s">
        <v>167</v>
      </c>
      <c r="M78" s="129" t="s">
        <v>168</v>
      </c>
      <c r="N78" s="130" t="s">
        <v>93</v>
      </c>
      <c r="O78" s="131">
        <v>8.9990196078431381</v>
      </c>
      <c r="P78" s="132">
        <v>20.399999999999999</v>
      </c>
      <c r="Q78" s="133">
        <f t="shared" si="38"/>
        <v>0</v>
      </c>
      <c r="R78" s="1">
        <f t="shared" ref="R78:R88" si="44">P78*O78</f>
        <v>183.58</v>
      </c>
      <c r="S78" s="2">
        <f ca="1">IF(AND($A78="S",COUNTIF($Z$10:$AW$10,mediçao-1)&gt;0),SUM(OFFSET($Z78,0,0,1,MATCH(mediçao-1,$Z$10:$AW$10,0))),IF(AND(RegimeExecucao="Global",$R78&gt;0,COUNTIF($Z$10:$AW$10,mediçao-1)&gt;0),V78/$R78*100,0))</f>
        <v>0</v>
      </c>
      <c r="T78" s="3">
        <f t="shared" si="24"/>
        <v>0</v>
      </c>
      <c r="U78" s="4">
        <f t="shared" ref="U78:U88" ca="1" si="45">S78+T78</f>
        <v>0</v>
      </c>
      <c r="V78" s="5">
        <f t="shared" si="25"/>
        <v>0</v>
      </c>
      <c r="W78" s="6">
        <f t="shared" si="26"/>
        <v>0</v>
      </c>
      <c r="X78" s="7">
        <f t="shared" ref="X78:X88" si="46">V78+W78</f>
        <v>0</v>
      </c>
      <c r="Y78" s="134"/>
      <c r="Z78" s="135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7"/>
      <c r="AL78" s="135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7"/>
      <c r="AX78" s="16"/>
      <c r="AY78" s="138">
        <v>0</v>
      </c>
      <c r="AZ78" s="8">
        <f t="shared" si="39"/>
        <v>0</v>
      </c>
      <c r="BA78" s="139">
        <v>0</v>
      </c>
      <c r="BB78" s="9" t="e">
        <f>IF($A78="S",VTOTAL,IF($A78=0,0,ROUND(SomaAgrup,arredtot)))</f>
        <v>#REF!</v>
      </c>
      <c r="BC78" s="10" t="e">
        <f t="shared" si="40"/>
        <v>#REF!</v>
      </c>
      <c r="BD78" s="11" t="e">
        <f>IF($A78="S",VTOTAL,IF($A78=0,0,ROUND(SomaAgrup,arredtot)))</f>
        <v>#REF!</v>
      </c>
      <c r="BF78" s="701" t="e">
        <f t="shared" si="41"/>
        <v>#REF!</v>
      </c>
      <c r="BG78" s="702"/>
      <c r="BH78" s="12" t="e">
        <f t="shared" si="42"/>
        <v>#REF!</v>
      </c>
      <c r="BI78" s="703" t="e">
        <f t="shared" si="43"/>
        <v>#REF!</v>
      </c>
      <c r="BJ78" s="704"/>
      <c r="BK78" s="705" t="e">
        <f>IF(BR78&gt;0,CHOOSE(MATCH(RegimeExecucao,{"Unitário","Global"},0),IF($A78="S",BR78/BN78,""),(BR78/BN78)*100),"")</f>
        <v>#REF!</v>
      </c>
      <c r="BL78" s="706"/>
      <c r="BM78" s="707"/>
      <c r="BN78" s="708" t="e">
        <f>IF(BR78&gt;0,CHOOSE(MATCH(RegimeExecucao,{"Unitário","Global"},0),IF($A78="S",ROUND(P78,arredunit),""),ROUND(R78,arredtot)),"")</f>
        <v>#REF!</v>
      </c>
      <c r="BO78" s="709"/>
      <c r="BP78" s="709"/>
      <c r="BQ78" s="710"/>
      <c r="BR78" s="708" t="e">
        <f t="shared" si="27"/>
        <v>#REF!</v>
      </c>
      <c r="BS78" s="709"/>
      <c r="BT78" s="709"/>
      <c r="BU78" s="710"/>
      <c r="BV78" s="711"/>
      <c r="BW78" s="711"/>
      <c r="BX78" s="711"/>
      <c r="BY78" s="711"/>
      <c r="BZ78" s="711"/>
      <c r="CA78" s="712"/>
      <c r="CB78" s="16"/>
      <c r="CC78" s="16"/>
    </row>
    <row r="79" spans="1:81" ht="26.4">
      <c r="A79" s="59" t="str">
        <f t="shared" si="36"/>
        <v>S</v>
      </c>
      <c r="B79" s="59">
        <f t="shared" si="37"/>
        <v>0</v>
      </c>
      <c r="C79" s="59">
        <f t="shared" ca="1" si="28"/>
        <v>11</v>
      </c>
      <c r="D79" s="59">
        <f t="shared" ca="1" si="29"/>
        <v>0</v>
      </c>
      <c r="E79" s="59">
        <f t="shared" ca="1" si="30"/>
        <v>0</v>
      </c>
      <c r="F79" s="59">
        <f t="shared" ca="1" si="31"/>
        <v>0</v>
      </c>
      <c r="G79" s="59">
        <f t="shared" ca="1" si="32"/>
        <v>6</v>
      </c>
      <c r="H79" s="59">
        <f t="shared" ca="1" si="33"/>
        <v>0</v>
      </c>
      <c r="I79" s="59">
        <f t="shared" ca="1" si="34"/>
        <v>0</v>
      </c>
      <c r="J79" s="59">
        <f t="shared" si="35"/>
        <v>1</v>
      </c>
      <c r="K79" s="127" t="s">
        <v>4</v>
      </c>
      <c r="L79" s="165" t="s">
        <v>169</v>
      </c>
      <c r="M79" s="129" t="s">
        <v>170</v>
      </c>
      <c r="N79" s="130" t="s">
        <v>93</v>
      </c>
      <c r="O79" s="131">
        <v>8.0000804812780419</v>
      </c>
      <c r="P79" s="132">
        <v>497.01</v>
      </c>
      <c r="Q79" s="133">
        <f t="shared" si="38"/>
        <v>0</v>
      </c>
      <c r="R79" s="1">
        <f t="shared" si="44"/>
        <v>3976.1199999999994</v>
      </c>
      <c r="S79" s="2">
        <f ca="1">IF(AND($A79="S",COUNTIF($Z$10:$AW$10,mediçao-1)&gt;0),SUM(OFFSET($Z79,0,0,1,MATCH(mediçao-1,$Z$10:$AW$10,0))),IF(AND(RegimeExecucao="Global",$R79&gt;0,COUNTIF($Z$10:$AW$10,mediçao-1)&gt;0),V79/$R79*100,0))</f>
        <v>0</v>
      </c>
      <c r="T79" s="3">
        <f t="shared" ref="T79:T88" si="47">Z79</f>
        <v>0</v>
      </c>
      <c r="U79" s="4">
        <f t="shared" ca="1" si="45"/>
        <v>0</v>
      </c>
      <c r="V79" s="5">
        <f t="shared" ref="V79:V88" si="48">IF(O79-Z79&gt;0.01,Z79*P79,R79)</f>
        <v>0</v>
      </c>
      <c r="W79" s="6">
        <f t="shared" ref="W79:W88" si="49">IF(O79-AA79&gt;0.01,AA79*P79,R79)</f>
        <v>0</v>
      </c>
      <c r="X79" s="7">
        <f t="shared" si="46"/>
        <v>0</v>
      </c>
      <c r="Y79" s="134"/>
      <c r="Z79" s="135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7"/>
      <c r="AL79" s="135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7"/>
      <c r="AX79" s="16"/>
      <c r="AY79" s="138">
        <v>0</v>
      </c>
      <c r="AZ79" s="8">
        <f t="shared" si="39"/>
        <v>0</v>
      </c>
      <c r="BA79" s="139">
        <v>0</v>
      </c>
      <c r="BB79" s="9" t="e">
        <f>IF($A79="S",VTOTAL,IF($A79=0,0,ROUND(SomaAgrup,arredtot)))</f>
        <v>#REF!</v>
      </c>
      <c r="BC79" s="10" t="e">
        <f t="shared" si="40"/>
        <v>#REF!</v>
      </c>
      <c r="BD79" s="11" t="e">
        <f>IF($A79="S",VTOTAL,IF($A79=0,0,ROUND(SomaAgrup,arredtot)))</f>
        <v>#REF!</v>
      </c>
      <c r="BF79" s="701" t="e">
        <f t="shared" si="41"/>
        <v>#REF!</v>
      </c>
      <c r="BG79" s="702"/>
      <c r="BH79" s="12" t="e">
        <f t="shared" si="42"/>
        <v>#REF!</v>
      </c>
      <c r="BI79" s="703" t="e">
        <f t="shared" si="43"/>
        <v>#REF!</v>
      </c>
      <c r="BJ79" s="704"/>
      <c r="BK79" s="705" t="e">
        <f>IF(BR79&gt;0,CHOOSE(MATCH(RegimeExecucao,{"Unitário","Global"},0),IF($A79="S",BR79/BN79,""),(BR79/BN79)*100),"")</f>
        <v>#REF!</v>
      </c>
      <c r="BL79" s="706"/>
      <c r="BM79" s="707"/>
      <c r="BN79" s="708" t="e">
        <f>IF(BR79&gt;0,CHOOSE(MATCH(RegimeExecucao,{"Unitário","Global"},0),IF($A79="S",ROUND(P79,arredunit),""),ROUND(R79,arredtot)),"")</f>
        <v>#REF!</v>
      </c>
      <c r="BO79" s="709"/>
      <c r="BP79" s="709"/>
      <c r="BQ79" s="710"/>
      <c r="BR79" s="708" t="e">
        <f t="shared" si="27"/>
        <v>#REF!</v>
      </c>
      <c r="BS79" s="709"/>
      <c r="BT79" s="709"/>
      <c r="BU79" s="710"/>
      <c r="BV79" s="711"/>
      <c r="BW79" s="711"/>
      <c r="BX79" s="711"/>
      <c r="BY79" s="711"/>
      <c r="BZ79" s="711"/>
      <c r="CA79" s="712"/>
      <c r="CB79" s="16"/>
      <c r="CC79" s="16"/>
    </row>
    <row r="80" spans="1:81" ht="26.4">
      <c r="A80" s="59" t="str">
        <f t="shared" si="36"/>
        <v>S</v>
      </c>
      <c r="B80" s="59">
        <f t="shared" si="37"/>
        <v>0</v>
      </c>
      <c r="C80" s="59">
        <f t="shared" ca="1" si="28"/>
        <v>11</v>
      </c>
      <c r="D80" s="59">
        <f t="shared" ca="1" si="29"/>
        <v>0</v>
      </c>
      <c r="E80" s="59">
        <f t="shared" ca="1" si="30"/>
        <v>0</v>
      </c>
      <c r="F80" s="59">
        <f t="shared" ca="1" si="31"/>
        <v>0</v>
      </c>
      <c r="G80" s="59">
        <f t="shared" ca="1" si="32"/>
        <v>7</v>
      </c>
      <c r="H80" s="59">
        <f t="shared" ca="1" si="33"/>
        <v>0</v>
      </c>
      <c r="I80" s="59">
        <f t="shared" ca="1" si="34"/>
        <v>0</v>
      </c>
      <c r="J80" s="59">
        <f t="shared" si="35"/>
        <v>1</v>
      </c>
      <c r="K80" s="127" t="s">
        <v>4</v>
      </c>
      <c r="L80" s="165" t="s">
        <v>171</v>
      </c>
      <c r="M80" s="129" t="s">
        <v>172</v>
      </c>
      <c r="N80" s="130" t="s">
        <v>93</v>
      </c>
      <c r="O80" s="131">
        <v>8</v>
      </c>
      <c r="P80" s="132">
        <v>6.9612499999999997</v>
      </c>
      <c r="Q80" s="133">
        <f t="shared" si="38"/>
        <v>0</v>
      </c>
      <c r="R80" s="1">
        <f t="shared" si="44"/>
        <v>55.69</v>
      </c>
      <c r="S80" s="2">
        <f ca="1">IF(AND($A80="S",COUNTIF($Z$10:$AW$10,mediçao-1)&gt;0),SUM(OFFSET($Z80,0,0,1,MATCH(mediçao-1,$Z$10:$AW$10,0))),IF(AND(RegimeExecucao="Global",$R80&gt;0,COUNTIF($Z$10:$AW$10,mediçao-1)&gt;0),V80/$R80*100,0))</f>
        <v>0</v>
      </c>
      <c r="T80" s="3">
        <f t="shared" si="47"/>
        <v>0</v>
      </c>
      <c r="U80" s="4">
        <f t="shared" ca="1" si="45"/>
        <v>0</v>
      </c>
      <c r="V80" s="5">
        <f t="shared" si="48"/>
        <v>0</v>
      </c>
      <c r="W80" s="6">
        <f t="shared" si="49"/>
        <v>0</v>
      </c>
      <c r="X80" s="7">
        <f t="shared" si="46"/>
        <v>0</v>
      </c>
      <c r="Y80" s="134"/>
      <c r="Z80" s="135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7"/>
      <c r="AL80" s="135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7"/>
      <c r="AX80" s="16"/>
      <c r="AY80" s="138">
        <v>0</v>
      </c>
      <c r="AZ80" s="8">
        <f t="shared" si="39"/>
        <v>0</v>
      </c>
      <c r="BA80" s="139">
        <v>0</v>
      </c>
      <c r="BB80" s="9" t="e">
        <f>IF($A80="S",VTOTAL,IF($A80=0,0,ROUND(SomaAgrup,arredtot)))</f>
        <v>#REF!</v>
      </c>
      <c r="BC80" s="10" t="e">
        <f t="shared" si="40"/>
        <v>#REF!</v>
      </c>
      <c r="BD80" s="11" t="e">
        <f>IF($A80="S",VTOTAL,IF($A80=0,0,ROUND(SomaAgrup,arredtot)))</f>
        <v>#REF!</v>
      </c>
      <c r="BF80" s="701" t="e">
        <f t="shared" si="41"/>
        <v>#REF!</v>
      </c>
      <c r="BG80" s="702"/>
      <c r="BH80" s="12" t="e">
        <f t="shared" si="42"/>
        <v>#REF!</v>
      </c>
      <c r="BI80" s="703" t="e">
        <f t="shared" si="43"/>
        <v>#REF!</v>
      </c>
      <c r="BJ80" s="704"/>
      <c r="BK80" s="705" t="e">
        <f>IF(BR80&gt;0,CHOOSE(MATCH(RegimeExecucao,{"Unitário","Global"},0),IF($A80="S",BR80/BN80,""),(BR80/BN80)*100),"")</f>
        <v>#REF!</v>
      </c>
      <c r="BL80" s="706"/>
      <c r="BM80" s="707"/>
      <c r="BN80" s="708" t="e">
        <f>IF(BR80&gt;0,CHOOSE(MATCH(RegimeExecucao,{"Unitário","Global"},0),IF($A80="S",ROUND(P80,arredunit),""),ROUND(R80,arredtot)),"")</f>
        <v>#REF!</v>
      </c>
      <c r="BO80" s="709"/>
      <c r="BP80" s="709"/>
      <c r="BQ80" s="710"/>
      <c r="BR80" s="708" t="e">
        <f t="shared" si="27"/>
        <v>#REF!</v>
      </c>
      <c r="BS80" s="709"/>
      <c r="BT80" s="709"/>
      <c r="BU80" s="710"/>
      <c r="BV80" s="711"/>
      <c r="BW80" s="711"/>
      <c r="BX80" s="711"/>
      <c r="BY80" s="711"/>
      <c r="BZ80" s="711"/>
      <c r="CA80" s="712"/>
      <c r="CB80" s="16"/>
      <c r="CC80" s="16"/>
    </row>
    <row r="81" spans="1:81" ht="26.4">
      <c r="A81" s="59" t="str">
        <f t="shared" si="36"/>
        <v>S</v>
      </c>
      <c r="B81" s="59">
        <f t="shared" si="37"/>
        <v>0</v>
      </c>
      <c r="C81" s="59">
        <f t="shared" ca="1" si="28"/>
        <v>11</v>
      </c>
      <c r="D81" s="59">
        <f t="shared" ca="1" si="29"/>
        <v>0</v>
      </c>
      <c r="E81" s="59">
        <f t="shared" ca="1" si="30"/>
        <v>0</v>
      </c>
      <c r="F81" s="59">
        <f t="shared" ca="1" si="31"/>
        <v>0</v>
      </c>
      <c r="G81" s="59">
        <f t="shared" ca="1" si="32"/>
        <v>8</v>
      </c>
      <c r="H81" s="59">
        <f t="shared" ca="1" si="33"/>
        <v>0</v>
      </c>
      <c r="I81" s="59">
        <f t="shared" ca="1" si="34"/>
        <v>0</v>
      </c>
      <c r="J81" s="59">
        <f t="shared" si="35"/>
        <v>1</v>
      </c>
      <c r="K81" s="127" t="s">
        <v>4</v>
      </c>
      <c r="L81" s="165" t="s">
        <v>173</v>
      </c>
      <c r="M81" s="129" t="s">
        <v>174</v>
      </c>
      <c r="N81" s="130" t="s">
        <v>93</v>
      </c>
      <c r="O81" s="131">
        <v>11.000419815281276</v>
      </c>
      <c r="P81" s="132">
        <v>23.82</v>
      </c>
      <c r="Q81" s="133">
        <f t="shared" si="38"/>
        <v>0</v>
      </c>
      <c r="R81" s="1">
        <f t="shared" si="44"/>
        <v>262.03000000000003</v>
      </c>
      <c r="S81" s="2">
        <f ca="1">IF(AND($A81="S",COUNTIF($Z$10:$AW$10,mediçao-1)&gt;0),SUM(OFFSET($Z81,0,0,1,MATCH(mediçao-1,$Z$10:$AW$10,0))),IF(AND(RegimeExecucao="Global",$R81&gt;0,COUNTIF($Z$10:$AW$10,mediçao-1)&gt;0),V81/$R81*100,0))</f>
        <v>0</v>
      </c>
      <c r="T81" s="3">
        <f t="shared" si="47"/>
        <v>0</v>
      </c>
      <c r="U81" s="4">
        <f t="shared" ca="1" si="45"/>
        <v>0</v>
      </c>
      <c r="V81" s="5">
        <f t="shared" si="48"/>
        <v>0</v>
      </c>
      <c r="W81" s="6">
        <f t="shared" si="49"/>
        <v>0</v>
      </c>
      <c r="X81" s="7">
        <f t="shared" si="46"/>
        <v>0</v>
      </c>
      <c r="Y81" s="134"/>
      <c r="Z81" s="135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7"/>
      <c r="AL81" s="135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7"/>
      <c r="AX81" s="16"/>
      <c r="AY81" s="138">
        <v>0</v>
      </c>
      <c r="AZ81" s="8">
        <f t="shared" si="39"/>
        <v>0</v>
      </c>
      <c r="BA81" s="139">
        <v>0</v>
      </c>
      <c r="BB81" s="9" t="e">
        <f>IF($A81="S",VTOTAL,IF($A81=0,0,ROUND(SomaAgrup,arredtot)))</f>
        <v>#REF!</v>
      </c>
      <c r="BC81" s="10" t="e">
        <f t="shared" si="40"/>
        <v>#REF!</v>
      </c>
      <c r="BD81" s="11" t="e">
        <f>IF($A81="S",VTOTAL,IF($A81=0,0,ROUND(SomaAgrup,arredtot)))</f>
        <v>#REF!</v>
      </c>
      <c r="BF81" s="701" t="e">
        <f t="shared" si="41"/>
        <v>#REF!</v>
      </c>
      <c r="BG81" s="702"/>
      <c r="BH81" s="12" t="e">
        <f t="shared" si="42"/>
        <v>#REF!</v>
      </c>
      <c r="BI81" s="703" t="e">
        <f t="shared" si="43"/>
        <v>#REF!</v>
      </c>
      <c r="BJ81" s="704"/>
      <c r="BK81" s="705" t="e">
        <f>IF(BR81&gt;0,CHOOSE(MATCH(RegimeExecucao,{"Unitário","Global"},0),IF($A81="S",BR81/BN81,""),(BR81/BN81)*100),"")</f>
        <v>#REF!</v>
      </c>
      <c r="BL81" s="706"/>
      <c r="BM81" s="707"/>
      <c r="BN81" s="708" t="e">
        <f>IF(BR81&gt;0,CHOOSE(MATCH(RegimeExecucao,{"Unitário","Global"},0),IF($A81="S",ROUND(P81,arredunit),""),ROUND(R81,arredtot)),"")</f>
        <v>#REF!</v>
      </c>
      <c r="BO81" s="709"/>
      <c r="BP81" s="709"/>
      <c r="BQ81" s="710"/>
      <c r="BR81" s="708" t="e">
        <f t="shared" si="27"/>
        <v>#REF!</v>
      </c>
      <c r="BS81" s="709"/>
      <c r="BT81" s="709"/>
      <c r="BU81" s="710"/>
      <c r="BV81" s="711"/>
      <c r="BW81" s="711"/>
      <c r="BX81" s="711"/>
      <c r="BY81" s="711"/>
      <c r="BZ81" s="711"/>
      <c r="CA81" s="712"/>
      <c r="CB81" s="16"/>
      <c r="CC81" s="16"/>
    </row>
    <row r="82" spans="1:81" ht="39.6">
      <c r="A82" s="59" t="str">
        <f t="shared" si="36"/>
        <v>S</v>
      </c>
      <c r="B82" s="59">
        <f t="shared" si="37"/>
        <v>0</v>
      </c>
      <c r="C82" s="59">
        <f t="shared" ca="1" si="28"/>
        <v>11</v>
      </c>
      <c r="D82" s="59">
        <f t="shared" ca="1" si="29"/>
        <v>0</v>
      </c>
      <c r="E82" s="59">
        <f t="shared" ca="1" si="30"/>
        <v>0</v>
      </c>
      <c r="F82" s="59">
        <f t="shared" ca="1" si="31"/>
        <v>0</v>
      </c>
      <c r="G82" s="59">
        <f t="shared" ca="1" si="32"/>
        <v>9</v>
      </c>
      <c r="H82" s="59">
        <f t="shared" ca="1" si="33"/>
        <v>0</v>
      </c>
      <c r="I82" s="59">
        <f t="shared" ca="1" si="34"/>
        <v>0</v>
      </c>
      <c r="J82" s="59">
        <f t="shared" si="35"/>
        <v>1</v>
      </c>
      <c r="K82" s="127" t="s">
        <v>4</v>
      </c>
      <c r="L82" s="165" t="s">
        <v>175</v>
      </c>
      <c r="M82" s="129" t="s">
        <v>176</v>
      </c>
      <c r="N82" s="130" t="s">
        <v>93</v>
      </c>
      <c r="O82" s="131">
        <v>3</v>
      </c>
      <c r="P82" s="132">
        <v>159.63999999999999</v>
      </c>
      <c r="Q82" s="133">
        <f t="shared" si="38"/>
        <v>0</v>
      </c>
      <c r="R82" s="1">
        <f t="shared" si="44"/>
        <v>478.91999999999996</v>
      </c>
      <c r="S82" s="2">
        <f ca="1">IF(AND($A82="S",COUNTIF($Z$10:$AW$10,mediçao-1)&gt;0),SUM(OFFSET($Z82,0,0,1,MATCH(mediçao-1,$Z$10:$AW$10,0))),IF(AND(RegimeExecucao="Global",$R82&gt;0,COUNTIF($Z$10:$AW$10,mediçao-1)&gt;0),V82/$R82*100,0))</f>
        <v>0</v>
      </c>
      <c r="T82" s="3">
        <f t="shared" si="47"/>
        <v>0</v>
      </c>
      <c r="U82" s="4">
        <f t="shared" ca="1" si="45"/>
        <v>0</v>
      </c>
      <c r="V82" s="5">
        <f t="shared" si="48"/>
        <v>0</v>
      </c>
      <c r="W82" s="6">
        <f t="shared" si="49"/>
        <v>0</v>
      </c>
      <c r="X82" s="7">
        <f t="shared" si="46"/>
        <v>0</v>
      </c>
      <c r="Y82" s="134"/>
      <c r="Z82" s="135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7"/>
      <c r="AL82" s="135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7"/>
      <c r="AX82" s="16"/>
      <c r="AY82" s="138">
        <v>0</v>
      </c>
      <c r="AZ82" s="8">
        <f t="shared" si="39"/>
        <v>0</v>
      </c>
      <c r="BA82" s="139">
        <v>0</v>
      </c>
      <c r="BB82" s="9" t="e">
        <f>IF($A82="S",VTOTAL,IF($A82=0,0,ROUND(SomaAgrup,arredtot)))</f>
        <v>#REF!</v>
      </c>
      <c r="BC82" s="10" t="e">
        <f t="shared" si="40"/>
        <v>#REF!</v>
      </c>
      <c r="BD82" s="11" t="e">
        <f>IF($A82="S",VTOTAL,IF($A82=0,0,ROUND(SomaAgrup,arredtot)))</f>
        <v>#REF!</v>
      </c>
      <c r="BF82" s="701" t="e">
        <f t="shared" si="41"/>
        <v>#REF!</v>
      </c>
      <c r="BG82" s="702"/>
      <c r="BH82" s="12" t="e">
        <f t="shared" si="42"/>
        <v>#REF!</v>
      </c>
      <c r="BI82" s="703" t="e">
        <f t="shared" si="43"/>
        <v>#REF!</v>
      </c>
      <c r="BJ82" s="704"/>
      <c r="BK82" s="705" t="e">
        <f>IF(BR82&gt;0,CHOOSE(MATCH(RegimeExecucao,{"Unitário","Global"},0),IF($A82="S",BR82/BN82,""),(BR82/BN82)*100),"")</f>
        <v>#REF!</v>
      </c>
      <c r="BL82" s="706"/>
      <c r="BM82" s="707"/>
      <c r="BN82" s="708" t="e">
        <f>IF(BR82&gt;0,CHOOSE(MATCH(RegimeExecucao,{"Unitário","Global"},0),IF($A82="S",ROUND(P82,arredunit),""),ROUND(R82,arredtot)),"")</f>
        <v>#REF!</v>
      </c>
      <c r="BO82" s="709"/>
      <c r="BP82" s="709"/>
      <c r="BQ82" s="710"/>
      <c r="BR82" s="708" t="e">
        <f t="shared" si="27"/>
        <v>#REF!</v>
      </c>
      <c r="BS82" s="709"/>
      <c r="BT82" s="709"/>
      <c r="BU82" s="710"/>
      <c r="BV82" s="711"/>
      <c r="BW82" s="711"/>
      <c r="BX82" s="711"/>
      <c r="BY82" s="711"/>
      <c r="BZ82" s="711"/>
      <c r="CA82" s="712"/>
      <c r="CB82" s="16"/>
      <c r="CC82" s="16"/>
    </row>
    <row r="83" spans="1:81">
      <c r="A83" s="59">
        <f t="shared" si="36"/>
        <v>1</v>
      </c>
      <c r="B83" s="59">
        <f t="shared" ca="1" si="37"/>
        <v>2</v>
      </c>
      <c r="C83" s="59">
        <f t="shared" ca="1" si="28"/>
        <v>12</v>
      </c>
      <c r="D83" s="59">
        <f t="shared" ca="1" si="29"/>
        <v>0</v>
      </c>
      <c r="E83" s="59">
        <f t="shared" ca="1" si="30"/>
        <v>0</v>
      </c>
      <c r="F83" s="59">
        <f t="shared" ca="1" si="31"/>
        <v>0</v>
      </c>
      <c r="G83" s="59">
        <f t="shared" ca="1" si="32"/>
        <v>0</v>
      </c>
      <c r="H83" s="59">
        <f t="shared" ca="1" si="33"/>
        <v>6</v>
      </c>
      <c r="I83" s="59">
        <f t="shared" ca="1" si="34"/>
        <v>2</v>
      </c>
      <c r="J83" s="59">
        <f t="shared" si="35"/>
        <v>0</v>
      </c>
      <c r="K83" s="127" t="str">
        <f>CHOOSE(1+LOG(1+2*($J83=3)+4*($J83=2)+8*($J83=1)+16*(AND($L83&lt;&gt;"",$L83&lt;&gt;0,$J83=0))+32*OR($N83&lt;&gt;"",RegimeExecucao="Global",AND($L83="",$M83="",$N83="")),2),"","Nível 4","Nível 3","Nível 2","Meta","Serviço")</f>
        <v>Meta</v>
      </c>
      <c r="L83" s="128">
        <v>12</v>
      </c>
      <c r="M83" s="129" t="s">
        <v>177</v>
      </c>
      <c r="N83" s="130"/>
      <c r="O83" s="131"/>
      <c r="P83" s="132"/>
      <c r="Q83" s="133">
        <f t="shared" si="38"/>
        <v>14838.84</v>
      </c>
      <c r="R83" s="1">
        <f>R84</f>
        <v>14838.84</v>
      </c>
      <c r="S83" s="2">
        <f ca="1">IF(AND($A83="S",COUNTIF($Z$10:$AW$10,mediçao-1)&gt;0),SUM(OFFSET($Z83,0,0,1,MATCH(mediçao-1,$Z$10:$AW$10,0))),IF(AND(RegimeExecucao="Global",$R83&gt;0,COUNTIF($Z$10:$AW$10,mediçao-1)&gt;0),V83/$R83*100,0))</f>
        <v>0</v>
      </c>
      <c r="T83" s="3">
        <f t="shared" si="47"/>
        <v>0</v>
      </c>
      <c r="U83" s="4">
        <f t="shared" ca="1" si="45"/>
        <v>0</v>
      </c>
      <c r="V83" s="1">
        <f>V84</f>
        <v>0</v>
      </c>
      <c r="W83" s="1">
        <f>W84</f>
        <v>0</v>
      </c>
      <c r="X83" s="7">
        <f t="shared" si="46"/>
        <v>0</v>
      </c>
      <c r="Y83" s="134"/>
      <c r="Z83" s="135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7"/>
      <c r="AL83" s="135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7"/>
      <c r="AX83" s="16"/>
      <c r="AY83" s="138">
        <v>0</v>
      </c>
      <c r="AZ83" s="8">
        <f t="shared" si="39"/>
        <v>0</v>
      </c>
      <c r="BA83" s="139">
        <v>0</v>
      </c>
      <c r="BB83" s="9" t="e">
        <f ca="1">IF($A83="S",VTOTAL,IF($A83=0,0,ROUND(SomaAgrup,arredtot)))</f>
        <v>#REF!</v>
      </c>
      <c r="BC83" s="10" t="e">
        <f t="shared" ca="1" si="40"/>
        <v>#REF!</v>
      </c>
      <c r="BD83" s="11" t="e">
        <f ca="1">IF($A83="S",VTOTAL,IF($A83=0,0,ROUND(SomaAgrup,arredtot)))</f>
        <v>#REF!</v>
      </c>
      <c r="BF83" s="701" t="e">
        <f t="shared" ca="1" si="41"/>
        <v>#REF!</v>
      </c>
      <c r="BG83" s="702"/>
      <c r="BH83" s="12" t="e">
        <f t="shared" ca="1" si="42"/>
        <v>#REF!</v>
      </c>
      <c r="BI83" s="703" t="e">
        <f t="shared" ca="1" si="43"/>
        <v>#REF!</v>
      </c>
      <c r="BJ83" s="704"/>
      <c r="BK83" s="705" t="e">
        <f ca="1">IF(BR83&gt;0,CHOOSE(MATCH(RegimeExecucao,{"Unitário","Global"},0),IF($A83="S",BR83/BN83,""),(BR83/BN83)*100),"")</f>
        <v>#REF!</v>
      </c>
      <c r="BL83" s="706"/>
      <c r="BM83" s="707"/>
      <c r="BN83" s="708" t="e">
        <f ca="1">IF(BR83&gt;0,CHOOSE(MATCH(RegimeExecucao,{"Unitário","Global"},0),IF($A83="S",ROUND(P83,arredunit),""),ROUND(R83,arredtot)),"")</f>
        <v>#REF!</v>
      </c>
      <c r="BO83" s="709"/>
      <c r="BP83" s="709"/>
      <c r="BQ83" s="710"/>
      <c r="BR83" s="708" t="e">
        <f t="shared" ca="1" si="27"/>
        <v>#REF!</v>
      </c>
      <c r="BS83" s="709"/>
      <c r="BT83" s="709"/>
      <c r="BU83" s="710"/>
      <c r="BV83" s="711"/>
      <c r="BW83" s="711"/>
      <c r="BX83" s="711"/>
      <c r="BY83" s="711"/>
      <c r="BZ83" s="711"/>
      <c r="CA83" s="712"/>
      <c r="CB83" s="16"/>
      <c r="CC83" s="16"/>
    </row>
    <row r="84" spans="1:81" ht="66">
      <c r="A84" s="59" t="str">
        <f t="shared" si="36"/>
        <v>S</v>
      </c>
      <c r="B84" s="59">
        <f t="shared" si="37"/>
        <v>0</v>
      </c>
      <c r="C84" s="59">
        <f t="shared" ca="1" si="28"/>
        <v>12</v>
      </c>
      <c r="D84" s="59">
        <f t="shared" ca="1" si="29"/>
        <v>0</v>
      </c>
      <c r="E84" s="59">
        <f t="shared" ca="1" si="30"/>
        <v>0</v>
      </c>
      <c r="F84" s="59">
        <f t="shared" ca="1" si="31"/>
        <v>0</v>
      </c>
      <c r="G84" s="59">
        <f t="shared" ca="1" si="32"/>
        <v>1</v>
      </c>
      <c r="H84" s="59">
        <f t="shared" ca="1" si="33"/>
        <v>0</v>
      </c>
      <c r="I84" s="59">
        <f t="shared" ca="1" si="34"/>
        <v>0</v>
      </c>
      <c r="J84" s="59">
        <f t="shared" si="35"/>
        <v>1</v>
      </c>
      <c r="K84" s="127" t="s">
        <v>4</v>
      </c>
      <c r="L84" s="165" t="s">
        <v>178</v>
      </c>
      <c r="M84" s="129" t="s">
        <v>179</v>
      </c>
      <c r="N84" s="130" t="s">
        <v>59</v>
      </c>
      <c r="O84" s="131">
        <v>35.300314016557238</v>
      </c>
      <c r="P84" s="132">
        <v>420.36</v>
      </c>
      <c r="Q84" s="133">
        <f t="shared" si="38"/>
        <v>0</v>
      </c>
      <c r="R84" s="1">
        <f t="shared" si="44"/>
        <v>14838.84</v>
      </c>
      <c r="S84" s="2">
        <f ca="1">IF(AND($A84="S",COUNTIF($Z$10:$AW$10,mediçao-1)&gt;0),SUM(OFFSET($Z84,0,0,1,MATCH(mediçao-1,$Z$10:$AW$10,0))),IF(AND(RegimeExecucao="Global",$R84&gt;0,COUNTIF($Z$10:$AW$10,mediçao-1)&gt;0),V84/$R84*100,0))</f>
        <v>0</v>
      </c>
      <c r="T84" s="3">
        <f t="shared" si="47"/>
        <v>0</v>
      </c>
      <c r="U84" s="4">
        <f t="shared" ca="1" si="45"/>
        <v>0</v>
      </c>
      <c r="V84" s="5">
        <f t="shared" si="48"/>
        <v>0</v>
      </c>
      <c r="W84" s="6">
        <f t="shared" si="49"/>
        <v>0</v>
      </c>
      <c r="X84" s="7">
        <f t="shared" si="46"/>
        <v>0</v>
      </c>
      <c r="Y84" s="134"/>
      <c r="Z84" s="135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7"/>
      <c r="AL84" s="135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7"/>
      <c r="AX84" s="16"/>
      <c r="AY84" s="138">
        <v>0</v>
      </c>
      <c r="AZ84" s="8">
        <f t="shared" si="39"/>
        <v>0</v>
      </c>
      <c r="BA84" s="139">
        <v>0</v>
      </c>
      <c r="BB84" s="9" t="e">
        <f>IF($A84="S",VTOTAL,IF($A84=0,0,ROUND(SomaAgrup,arredtot)))</f>
        <v>#REF!</v>
      </c>
      <c r="BC84" s="10" t="e">
        <f t="shared" si="40"/>
        <v>#REF!</v>
      </c>
      <c r="BD84" s="11" t="e">
        <f>IF($A84="S",VTOTAL,IF($A84=0,0,ROUND(SomaAgrup,arredtot)))</f>
        <v>#REF!</v>
      </c>
      <c r="BF84" s="701" t="e">
        <f t="shared" si="41"/>
        <v>#REF!</v>
      </c>
      <c r="BG84" s="702"/>
      <c r="BH84" s="12" t="e">
        <f t="shared" si="42"/>
        <v>#REF!</v>
      </c>
      <c r="BI84" s="703" t="e">
        <f t="shared" si="43"/>
        <v>#REF!</v>
      </c>
      <c r="BJ84" s="704"/>
      <c r="BK84" s="705" t="e">
        <f>IF(BR84&gt;0,CHOOSE(MATCH(RegimeExecucao,{"Unitário","Global"},0),IF($A84="S",BR84/BN84,""),(BR84/BN84)*100),"")</f>
        <v>#REF!</v>
      </c>
      <c r="BL84" s="706"/>
      <c r="BM84" s="707"/>
      <c r="BN84" s="708" t="e">
        <f>IF(BR84&gt;0,CHOOSE(MATCH(RegimeExecucao,{"Unitário","Global"},0),IF($A84="S",ROUND(P84,arredunit),""),ROUND(R84,arredtot)),"")</f>
        <v>#REF!</v>
      </c>
      <c r="BO84" s="709"/>
      <c r="BP84" s="709"/>
      <c r="BQ84" s="710"/>
      <c r="BR84" s="708" t="e">
        <f t="shared" si="27"/>
        <v>#REF!</v>
      </c>
      <c r="BS84" s="709"/>
      <c r="BT84" s="709"/>
      <c r="BU84" s="710"/>
      <c r="BV84" s="711"/>
      <c r="BW84" s="711"/>
      <c r="BX84" s="711"/>
      <c r="BY84" s="711"/>
      <c r="BZ84" s="711"/>
      <c r="CA84" s="712"/>
      <c r="CB84" s="16"/>
      <c r="CC84" s="16"/>
    </row>
    <row r="85" spans="1:81">
      <c r="A85" s="59">
        <f t="shared" si="36"/>
        <v>1</v>
      </c>
      <c r="B85" s="59">
        <f t="shared" ca="1" si="37"/>
        <v>4</v>
      </c>
      <c r="C85" s="59">
        <f t="shared" ca="1" si="28"/>
        <v>13</v>
      </c>
      <c r="D85" s="59">
        <f t="shared" ca="1" si="29"/>
        <v>0</v>
      </c>
      <c r="E85" s="59">
        <f t="shared" ca="1" si="30"/>
        <v>0</v>
      </c>
      <c r="F85" s="59">
        <f t="shared" ca="1" si="31"/>
        <v>0</v>
      </c>
      <c r="G85" s="59">
        <f t="shared" ca="1" si="32"/>
        <v>0</v>
      </c>
      <c r="H85" s="59">
        <f t="shared" ca="1" si="33"/>
        <v>4</v>
      </c>
      <c r="I85" s="59" t="e">
        <f t="shared" ca="1" si="34"/>
        <v>#N/A</v>
      </c>
      <c r="J85" s="59">
        <f t="shared" si="35"/>
        <v>0</v>
      </c>
      <c r="K85" s="127" t="str">
        <f>CHOOSE(1+LOG(1+2*($J85=3)+4*($J85=2)+8*($J85=1)+16*(AND($L85&lt;&gt;"",$L85&lt;&gt;0,$J85=0))+32*OR($N85&lt;&gt;"",RegimeExecucao="Global",AND($L85="",$M85="",$N85="")),2),"","Nível 4","Nível 3","Nível 2","Meta","Serviço")</f>
        <v>Meta</v>
      </c>
      <c r="L85" s="128">
        <v>13</v>
      </c>
      <c r="M85" s="129" t="s">
        <v>180</v>
      </c>
      <c r="N85" s="130"/>
      <c r="O85" s="131"/>
      <c r="P85" s="132"/>
      <c r="Q85" s="133">
        <f t="shared" si="38"/>
        <v>1011.7300000000002</v>
      </c>
      <c r="R85" s="1">
        <f>SUM(R86:R88)</f>
        <v>1011.7300000000002</v>
      </c>
      <c r="S85" s="2">
        <f ca="1">IF(AND($A85="S",COUNTIF($Z$10:$AW$10,mediçao-1)&gt;0),SUM(OFFSET($Z85,0,0,1,MATCH(mediçao-1,$Z$10:$AW$10,0))),IF(AND(RegimeExecucao="Global",$R85&gt;0,COUNTIF($Z$10:$AW$10,mediçao-1)&gt;0),V85/$R85*100,0))</f>
        <v>0</v>
      </c>
      <c r="T85" s="3">
        <f t="shared" si="47"/>
        <v>0</v>
      </c>
      <c r="U85" s="4">
        <f t="shared" ca="1" si="45"/>
        <v>0</v>
      </c>
      <c r="V85" s="1">
        <f>SUM(V86:V88)</f>
        <v>32.595909090909089</v>
      </c>
      <c r="W85" s="1">
        <f>SUM(W86:W88)</f>
        <v>684.56409090909096</v>
      </c>
      <c r="X85" s="7">
        <f t="shared" si="46"/>
        <v>717.16000000000008</v>
      </c>
      <c r="Y85" s="134"/>
      <c r="Z85" s="135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7"/>
      <c r="AL85" s="135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7"/>
      <c r="AX85" s="16"/>
      <c r="AY85" s="138">
        <v>0</v>
      </c>
      <c r="AZ85" s="8">
        <f t="shared" si="39"/>
        <v>0</v>
      </c>
      <c r="BA85" s="139">
        <v>0</v>
      </c>
      <c r="BB85" s="9" t="e">
        <f ca="1">IF($A85="S",VTOTAL,IF($A85=0,0,ROUND(SomaAgrup,arredtot)))</f>
        <v>#REF!</v>
      </c>
      <c r="BC85" s="10" t="e">
        <f t="shared" ca="1" si="40"/>
        <v>#REF!</v>
      </c>
      <c r="BD85" s="11" t="e">
        <f ca="1">IF($A85="S",VTOTAL,IF($A85=0,0,ROUND(SomaAgrup,arredtot)))</f>
        <v>#REF!</v>
      </c>
      <c r="BF85" s="701" t="e">
        <f t="shared" ca="1" si="41"/>
        <v>#REF!</v>
      </c>
      <c r="BG85" s="702"/>
      <c r="BH85" s="12" t="e">
        <f t="shared" ca="1" si="42"/>
        <v>#REF!</v>
      </c>
      <c r="BI85" s="703" t="e">
        <f t="shared" ca="1" si="43"/>
        <v>#REF!</v>
      </c>
      <c r="BJ85" s="704"/>
      <c r="BK85" s="705" t="e">
        <f ca="1">IF(BR85&gt;0,CHOOSE(MATCH(RegimeExecucao,{"Unitário","Global"},0),IF($A85="S",BR85/BN85,""),(BR85/BN85)*100),"")</f>
        <v>#REF!</v>
      </c>
      <c r="BL85" s="706"/>
      <c r="BM85" s="707"/>
      <c r="BN85" s="708" t="e">
        <f ca="1">IF(BR85&gt;0,CHOOSE(MATCH(RegimeExecucao,{"Unitário","Global"},0),IF($A85="S",ROUND(P85,arredunit),""),ROUND(R85,arredtot)),"")</f>
        <v>#REF!</v>
      </c>
      <c r="BO85" s="709"/>
      <c r="BP85" s="709"/>
      <c r="BQ85" s="710"/>
      <c r="BR85" s="708" t="e">
        <f t="shared" ca="1" si="27"/>
        <v>#REF!</v>
      </c>
      <c r="BS85" s="709"/>
      <c r="BT85" s="709"/>
      <c r="BU85" s="710"/>
      <c r="BV85" s="711"/>
      <c r="BW85" s="711"/>
      <c r="BX85" s="711"/>
      <c r="BY85" s="711"/>
      <c r="BZ85" s="711"/>
      <c r="CA85" s="712"/>
      <c r="CB85" s="16"/>
      <c r="CC85" s="16"/>
    </row>
    <row r="86" spans="1:81">
      <c r="A86" s="59" t="str">
        <f t="shared" si="36"/>
        <v>S</v>
      </c>
      <c r="B86" s="59">
        <f t="shared" si="37"/>
        <v>0</v>
      </c>
      <c r="C86" s="59">
        <f t="shared" ca="1" si="28"/>
        <v>13</v>
      </c>
      <c r="D86" s="59">
        <f t="shared" ca="1" si="29"/>
        <v>0</v>
      </c>
      <c r="E86" s="59">
        <f t="shared" ca="1" si="30"/>
        <v>0</v>
      </c>
      <c r="F86" s="59">
        <f t="shared" ca="1" si="31"/>
        <v>0</v>
      </c>
      <c r="G86" s="59">
        <f t="shared" ca="1" si="32"/>
        <v>1</v>
      </c>
      <c r="H86" s="59">
        <f t="shared" ca="1" si="33"/>
        <v>0</v>
      </c>
      <c r="I86" s="59">
        <f t="shared" ca="1" si="34"/>
        <v>0</v>
      </c>
      <c r="J86" s="59">
        <f t="shared" si="35"/>
        <v>1</v>
      </c>
      <c r="K86" s="127" t="s">
        <v>4</v>
      </c>
      <c r="L86" s="165" t="s">
        <v>181</v>
      </c>
      <c r="M86" s="129" t="s">
        <v>182</v>
      </c>
      <c r="N86" s="130" t="s">
        <v>49</v>
      </c>
      <c r="O86" s="131">
        <v>22.001917913310322</v>
      </c>
      <c r="P86" s="132">
        <v>26.07</v>
      </c>
      <c r="Q86" s="133">
        <f t="shared" si="38"/>
        <v>0</v>
      </c>
      <c r="R86" s="1">
        <f t="shared" si="44"/>
        <v>573.59000000000015</v>
      </c>
      <c r="S86" s="2">
        <v>1</v>
      </c>
      <c r="T86" s="3">
        <v>21</v>
      </c>
      <c r="U86" s="4">
        <f t="shared" si="45"/>
        <v>22</v>
      </c>
      <c r="V86" s="5">
        <f t="shared" si="48"/>
        <v>26.07</v>
      </c>
      <c r="W86" s="6">
        <f t="shared" si="49"/>
        <v>547.5200000000001</v>
      </c>
      <c r="X86" s="7">
        <f t="shared" si="46"/>
        <v>573.59000000000015</v>
      </c>
      <c r="Y86" s="134"/>
      <c r="Z86" s="135">
        <v>1</v>
      </c>
      <c r="AA86" s="136">
        <f>O86-Z86</f>
        <v>21.001917913310322</v>
      </c>
      <c r="AB86" s="136"/>
      <c r="AC86" s="136"/>
      <c r="AD86" s="136"/>
      <c r="AE86" s="136"/>
      <c r="AF86" s="136"/>
      <c r="AG86" s="136"/>
      <c r="AH86" s="136"/>
      <c r="AI86" s="136"/>
      <c r="AJ86" s="136"/>
      <c r="AK86" s="137"/>
      <c r="AL86" s="135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7"/>
      <c r="AX86" s="16"/>
      <c r="AY86" s="138">
        <v>0</v>
      </c>
      <c r="AZ86" s="8">
        <f t="shared" si="39"/>
        <v>0</v>
      </c>
      <c r="BA86" s="139">
        <v>0</v>
      </c>
      <c r="BB86" s="9" t="e">
        <f>IF($A86="S",VTOTAL,IF($A86=0,0,ROUND(SomaAgrup,arredtot)))</f>
        <v>#REF!</v>
      </c>
      <c r="BC86" s="10" t="e">
        <f t="shared" si="40"/>
        <v>#REF!</v>
      </c>
      <c r="BD86" s="11" t="e">
        <f>IF($A86="S",VTOTAL,IF($A86=0,0,ROUND(SomaAgrup,arredtot)))</f>
        <v>#REF!</v>
      </c>
      <c r="BF86" s="701" t="e">
        <f t="shared" si="41"/>
        <v>#REF!</v>
      </c>
      <c r="BG86" s="702"/>
      <c r="BH86" s="12" t="e">
        <f t="shared" si="42"/>
        <v>#REF!</v>
      </c>
      <c r="BI86" s="703" t="e">
        <f t="shared" si="43"/>
        <v>#REF!</v>
      </c>
      <c r="BJ86" s="704"/>
      <c r="BK86" s="705" t="e">
        <f>IF(BR86&gt;0,CHOOSE(MATCH(RegimeExecucao,{"Unitário","Global"},0),IF($A86="S",BR86/BN86,""),(BR86/BN86)*100),"")</f>
        <v>#REF!</v>
      </c>
      <c r="BL86" s="706"/>
      <c r="BM86" s="707"/>
      <c r="BN86" s="708" t="e">
        <f>IF(BR86&gt;0,CHOOSE(MATCH(RegimeExecucao,{"Unitário","Global"},0),IF($A86="S",ROUND(P86,arredunit),""),ROUND(R86,arredtot)),"")</f>
        <v>#REF!</v>
      </c>
      <c r="BO86" s="709"/>
      <c r="BP86" s="709"/>
      <c r="BQ86" s="710"/>
      <c r="BR86" s="708" t="e">
        <f t="shared" si="27"/>
        <v>#REF!</v>
      </c>
      <c r="BS86" s="709"/>
      <c r="BT86" s="709"/>
      <c r="BU86" s="710"/>
      <c r="BV86" s="711"/>
      <c r="BW86" s="711"/>
      <c r="BX86" s="711"/>
      <c r="BY86" s="711"/>
      <c r="BZ86" s="711"/>
      <c r="CA86" s="712"/>
      <c r="CB86" s="16"/>
      <c r="CC86" s="16"/>
    </row>
    <row r="87" spans="1:81" ht="26.4">
      <c r="A87" s="59" t="str">
        <f t="shared" si="36"/>
        <v>S</v>
      </c>
      <c r="B87" s="59">
        <f t="shared" si="37"/>
        <v>0</v>
      </c>
      <c r="C87" s="59">
        <f t="shared" ca="1" si="28"/>
        <v>13</v>
      </c>
      <c r="D87" s="59">
        <f t="shared" ca="1" si="29"/>
        <v>0</v>
      </c>
      <c r="E87" s="59">
        <f t="shared" ca="1" si="30"/>
        <v>0</v>
      </c>
      <c r="F87" s="59">
        <f t="shared" ca="1" si="31"/>
        <v>0</v>
      </c>
      <c r="G87" s="59">
        <f t="shared" ca="1" si="32"/>
        <v>2</v>
      </c>
      <c r="H87" s="59">
        <f t="shared" ca="1" si="33"/>
        <v>0</v>
      </c>
      <c r="I87" s="59">
        <f t="shared" ca="1" si="34"/>
        <v>0</v>
      </c>
      <c r="J87" s="59">
        <f t="shared" si="35"/>
        <v>1</v>
      </c>
      <c r="K87" s="127" t="s">
        <v>4</v>
      </c>
      <c r="L87" s="165" t="s">
        <v>183</v>
      </c>
      <c r="M87" s="129" t="s">
        <v>184</v>
      </c>
      <c r="N87" s="130" t="s">
        <v>49</v>
      </c>
      <c r="O87" s="131">
        <v>22</v>
      </c>
      <c r="P87" s="132">
        <v>6.5259090909090913</v>
      </c>
      <c r="Q87" s="133">
        <f t="shared" si="38"/>
        <v>0</v>
      </c>
      <c r="R87" s="1">
        <f t="shared" si="44"/>
        <v>143.57000000000002</v>
      </c>
      <c r="S87" s="2">
        <v>1</v>
      </c>
      <c r="T87" s="3">
        <v>21</v>
      </c>
      <c r="U87" s="4">
        <f t="shared" si="45"/>
        <v>22</v>
      </c>
      <c r="V87" s="5">
        <f t="shared" si="48"/>
        <v>6.5259090909090913</v>
      </c>
      <c r="W87" s="6">
        <f t="shared" si="49"/>
        <v>137.04409090909093</v>
      </c>
      <c r="X87" s="7">
        <f t="shared" si="46"/>
        <v>143.57000000000002</v>
      </c>
      <c r="Y87" s="134"/>
      <c r="Z87" s="135">
        <v>1</v>
      </c>
      <c r="AA87" s="136">
        <v>21</v>
      </c>
      <c r="AB87" s="136"/>
      <c r="AC87" s="136"/>
      <c r="AD87" s="136"/>
      <c r="AE87" s="136"/>
      <c r="AF87" s="136"/>
      <c r="AG87" s="136"/>
      <c r="AH87" s="136"/>
      <c r="AI87" s="136"/>
      <c r="AJ87" s="136"/>
      <c r="AK87" s="137"/>
      <c r="AL87" s="135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7"/>
      <c r="AX87" s="16"/>
      <c r="AY87" s="138">
        <v>0</v>
      </c>
      <c r="AZ87" s="8">
        <f t="shared" si="39"/>
        <v>0</v>
      </c>
      <c r="BA87" s="139">
        <v>0</v>
      </c>
      <c r="BB87" s="9" t="e">
        <f>IF($A87="S",VTOTAL,IF($A87=0,0,ROUND(SomaAgrup,arredtot)))</f>
        <v>#REF!</v>
      </c>
      <c r="BC87" s="10" t="e">
        <f t="shared" si="40"/>
        <v>#REF!</v>
      </c>
      <c r="BD87" s="11" t="e">
        <f>IF($A87="S",VTOTAL,IF($A87=0,0,ROUND(SomaAgrup,arredtot)))</f>
        <v>#REF!</v>
      </c>
      <c r="BF87" s="701" t="e">
        <f t="shared" si="41"/>
        <v>#REF!</v>
      </c>
      <c r="BG87" s="702"/>
      <c r="BH87" s="12" t="e">
        <f t="shared" si="42"/>
        <v>#REF!</v>
      </c>
      <c r="BI87" s="703" t="e">
        <f t="shared" si="43"/>
        <v>#REF!</v>
      </c>
      <c r="BJ87" s="704"/>
      <c r="BK87" s="705" t="e">
        <f>IF(BR87&gt;0,CHOOSE(MATCH(RegimeExecucao,{"Unitário","Global"},0),IF($A87="S",BR87/BN87,""),(BR87/BN87)*100),"")</f>
        <v>#REF!</v>
      </c>
      <c r="BL87" s="706"/>
      <c r="BM87" s="707"/>
      <c r="BN87" s="708" t="e">
        <f>IF(BR87&gt;0,CHOOSE(MATCH(RegimeExecucao,{"Unitário","Global"},0),IF($A87="S",ROUND(P87,arredunit),""),ROUND(R87,arredtot)),"")</f>
        <v>#REF!</v>
      </c>
      <c r="BO87" s="709"/>
      <c r="BP87" s="709"/>
      <c r="BQ87" s="710"/>
      <c r="BR87" s="708" t="e">
        <f t="shared" si="27"/>
        <v>#REF!</v>
      </c>
      <c r="BS87" s="709"/>
      <c r="BT87" s="709"/>
      <c r="BU87" s="710"/>
      <c r="BV87" s="711"/>
      <c r="BW87" s="711"/>
      <c r="BX87" s="711"/>
      <c r="BY87" s="711"/>
      <c r="BZ87" s="711"/>
      <c r="CA87" s="712"/>
      <c r="CB87" s="16"/>
      <c r="CC87" s="16"/>
    </row>
    <row r="88" spans="1:81">
      <c r="A88" s="59" t="str">
        <f>CHOOSE(1+LOG(1+2*(K88="Meta")+4*(K88="Nível 2")+8*(K88="Nível 3")+16*(K88="Nível 4")+32*(K88="Serviço"),2),0,1,2,3,4,"S")</f>
        <v>S</v>
      </c>
      <c r="B88" s="59">
        <f>IF(OR(A88="S",A88=0),0,IF(ISERROR(I88),H88,SMALL(H88:I88,1)))</f>
        <v>0</v>
      </c>
      <c r="C88" s="59">
        <f ca="1">IF($A88=1,OFFSET(C88,-1,0)+1,OFFSET(C88,-1,0))</f>
        <v>13</v>
      </c>
      <c r="D88" s="59">
        <f ca="1">IF($A88=1,0,IF($A88=2,OFFSET(D88,-1,0)+1,OFFSET(D88,-1,0)))</f>
        <v>0</v>
      </c>
      <c r="E88" s="59">
        <f ca="1">IF(AND($A88&lt;=2,$A88&lt;&gt;0),0,IF($A88=3,OFFSET(E88,-1,0)+1,OFFSET(E88,-1,0)))</f>
        <v>0</v>
      </c>
      <c r="F88" s="59">
        <f ca="1">IF(AND($A88&lt;=3,$A88&lt;&gt;0),0,IF($A88=4,OFFSET(F88,-1,0)+1,OFFSET(F88,-1,0)))</f>
        <v>0</v>
      </c>
      <c r="G88" s="59">
        <f ca="1">IF(AND($A88&lt;=4,$A88&lt;&gt;0),0,IF($A88="S",OFFSET(G88,-1,0)+1,OFFSET(G88,-1,0)))</f>
        <v>3</v>
      </c>
      <c r="H88" s="59">
        <f ca="1">IF(OR($A88="S",$A88=0),0,MATCH(0,OFFSET($B88,1,$A88,ROW($A$89)-ROW($A88)),0))</f>
        <v>0</v>
      </c>
      <c r="I88" s="59">
        <f ca="1">IF(OR($A88="S",$A88=0),0,MATCH(OFFSET($B88,0,$A88)+1,OFFSET($B88,1,$A88,ROW($A$89)-ROW($A88)),0))</f>
        <v>0</v>
      </c>
      <c r="J88" s="59">
        <f>LEN(LEFT($L88,LEN($L88)-1*(RIGHT($L88,1)=".")))-LEN(SUBSTITUTE(LEFT($L88,LEN($L88)-1*(RIGHT($L88,1)=".")),".",""))</f>
        <v>1</v>
      </c>
      <c r="K88" s="127" t="s">
        <v>4</v>
      </c>
      <c r="L88" s="165" t="s">
        <v>185</v>
      </c>
      <c r="M88" s="129" t="s">
        <v>186</v>
      </c>
      <c r="N88" s="130" t="s">
        <v>43</v>
      </c>
      <c r="O88" s="131">
        <v>26</v>
      </c>
      <c r="P88" s="132">
        <v>11.329615384615385</v>
      </c>
      <c r="Q88" s="133">
        <f>IF($A88="S",0,$R88)</f>
        <v>0</v>
      </c>
      <c r="R88" s="1">
        <f t="shared" si="44"/>
        <v>294.57</v>
      </c>
      <c r="S88" s="2">
        <f ca="1">IF(AND($A88="S",COUNTIF($Z$10:$AW$10,mediçao-1)&gt;0),SUM(OFFSET($Z88,0,0,1,MATCH(mediçao-1,$Z$10:$AW$10,0))),IF(AND(RegimeExecucao="Global",$R88&gt;0,COUNTIF($Z$10:$AW$10,mediçao-1)&gt;0),V88/$R88*100,0))</f>
        <v>0</v>
      </c>
      <c r="T88" s="3">
        <f t="shared" si="47"/>
        <v>0</v>
      </c>
      <c r="U88" s="4">
        <f t="shared" ca="1" si="45"/>
        <v>0</v>
      </c>
      <c r="V88" s="5">
        <f t="shared" si="48"/>
        <v>0</v>
      </c>
      <c r="W88" s="6">
        <f t="shared" si="49"/>
        <v>0</v>
      </c>
      <c r="X88" s="7">
        <f t="shared" si="46"/>
        <v>0</v>
      </c>
      <c r="Y88" s="134"/>
      <c r="Z88" s="135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7"/>
      <c r="AL88" s="135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7"/>
      <c r="AX88" s="16"/>
      <c r="AY88" s="138">
        <v>0</v>
      </c>
      <c r="AZ88" s="8">
        <f>BA88-AY88</f>
        <v>0</v>
      </c>
      <c r="BA88" s="139">
        <v>0</v>
      </c>
      <c r="BB88" s="9" t="e">
        <f>IF($A88="S",VTOTAL,IF($A88=0,0,ROUND(SomaAgrup,arredtot)))</f>
        <v>#REF!</v>
      </c>
      <c r="BC88" s="10" t="e">
        <f>BD88-BB88</f>
        <v>#REF!</v>
      </c>
      <c r="BD88" s="11" t="e">
        <f>IF($A88="S",VTOTAL,IF($A88=0,0,ROUND(SomaAgrup,arredtot)))</f>
        <v>#REF!</v>
      </c>
      <c r="BF88" s="701" t="e">
        <f>IF(BK88&gt;0,L88,"")</f>
        <v>#REF!</v>
      </c>
      <c r="BG88" s="702"/>
      <c r="BH88" s="12" t="e">
        <f>IF(BK88&gt;0,M88,"")</f>
        <v>#REF!</v>
      </c>
      <c r="BI88" s="703" t="e">
        <f>IF(BK88&gt;0,N88,"")</f>
        <v>#REF!</v>
      </c>
      <c r="BJ88" s="704"/>
      <c r="BK88" s="705" t="e">
        <f>IF(BR88&gt;0,CHOOSE(MATCH(RegimeExecucao,{"Unitário","Global"},0),IF($A88="S",BR88/BN88,""),(BR88/BN88)*100),"")</f>
        <v>#REF!</v>
      </c>
      <c r="BL88" s="706"/>
      <c r="BM88" s="707"/>
      <c r="BN88" s="708" t="e">
        <f>IF(BR88&gt;0,CHOOSE(MATCH(RegimeExecucao,{"Unitário","Global"},0),IF($A88="S",ROUND(P88,arredunit),""),ROUND(R88,arredtot)),"")</f>
        <v>#REF!</v>
      </c>
      <c r="BO88" s="709"/>
      <c r="BP88" s="709"/>
      <c r="BQ88" s="710"/>
      <c r="BR88" s="708" t="e">
        <f>$X88-$BD88</f>
        <v>#REF!</v>
      </c>
      <c r="BS88" s="709"/>
      <c r="BT88" s="709"/>
      <c r="BU88" s="710"/>
      <c r="BV88" s="711"/>
      <c r="BW88" s="711"/>
      <c r="BX88" s="711"/>
      <c r="BY88" s="711"/>
      <c r="BZ88" s="711"/>
      <c r="CA88" s="712"/>
      <c r="CB88" s="16"/>
      <c r="CC88" s="16"/>
    </row>
    <row r="89" spans="1:81">
      <c r="A89" s="59">
        <v>-1</v>
      </c>
      <c r="B89" s="59">
        <v>0</v>
      </c>
      <c r="C89" s="59">
        <v>0</v>
      </c>
      <c r="D89" s="59">
        <v>0</v>
      </c>
      <c r="E89" s="59">
        <v>0</v>
      </c>
      <c r="F89" s="59">
        <v>0</v>
      </c>
      <c r="G89" s="59">
        <v>0</v>
      </c>
      <c r="H89" s="134"/>
      <c r="I89" s="134"/>
      <c r="J89" s="134"/>
      <c r="K89" s="167"/>
      <c r="L89" s="167"/>
      <c r="M89" s="168"/>
      <c r="N89" s="169"/>
      <c r="O89" s="170"/>
      <c r="P89" s="169"/>
      <c r="Q89" s="169"/>
      <c r="R89" s="171"/>
      <c r="S89" s="169"/>
      <c r="T89" s="172"/>
      <c r="U89" s="173"/>
      <c r="V89" s="172"/>
      <c r="W89" s="169"/>
      <c r="X89" s="174"/>
      <c r="Y89" s="134"/>
      <c r="Z89" s="167"/>
      <c r="AA89" s="168"/>
      <c r="AB89" s="169"/>
      <c r="AC89" s="170"/>
      <c r="AD89" s="169"/>
      <c r="AE89" s="175"/>
      <c r="AF89" s="175"/>
      <c r="AG89" s="176"/>
      <c r="AH89" s="176"/>
      <c r="AI89" s="176"/>
      <c r="AJ89" s="169"/>
      <c r="AK89" s="174"/>
      <c r="AL89" s="167"/>
      <c r="AM89" s="168"/>
      <c r="AN89" s="169"/>
      <c r="AO89" s="170"/>
      <c r="AP89" s="169"/>
      <c r="AQ89" s="175"/>
      <c r="AR89" s="175"/>
      <c r="AS89" s="176"/>
      <c r="AT89" s="176"/>
      <c r="AU89" s="176"/>
      <c r="AV89" s="169"/>
      <c r="AW89" s="174"/>
      <c r="AX89" s="134"/>
      <c r="AY89" s="177"/>
      <c r="AZ89" s="172"/>
      <c r="BA89" s="178"/>
      <c r="BB89" s="172"/>
      <c r="BC89" s="169"/>
      <c r="BD89" s="174"/>
      <c r="BF89" s="696"/>
      <c r="BG89" s="697"/>
      <c r="BH89" s="190"/>
      <c r="BI89" s="697"/>
      <c r="BJ89" s="697"/>
      <c r="BK89" s="697"/>
      <c r="BL89" s="697"/>
      <c r="BM89" s="697"/>
      <c r="BN89" s="697"/>
      <c r="BO89" s="697"/>
      <c r="BP89" s="697"/>
      <c r="BQ89" s="697"/>
      <c r="BR89" s="698"/>
      <c r="BS89" s="697"/>
      <c r="BT89" s="697"/>
      <c r="BU89" s="697"/>
      <c r="BV89" s="699"/>
      <c r="BW89" s="699"/>
      <c r="BX89" s="699"/>
      <c r="BY89" s="699"/>
      <c r="BZ89" s="699"/>
      <c r="CA89" s="700"/>
      <c r="CB89" s="134"/>
      <c r="CC89" s="134"/>
    </row>
    <row r="90" spans="1:81"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180"/>
      <c r="U90" s="180"/>
      <c r="V90" s="180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 t="b">
        <v>0</v>
      </c>
    </row>
    <row r="91" spans="1:81">
      <c r="I91" s="46"/>
      <c r="J91" s="46"/>
      <c r="K91" s="46"/>
      <c r="L91" s="180" t="s">
        <v>187</v>
      </c>
      <c r="M91" s="678"/>
      <c r="N91" s="679"/>
      <c r="O91" s="679"/>
      <c r="P91" s="679"/>
      <c r="Q91" s="679"/>
      <c r="R91" s="679"/>
      <c r="S91" s="679"/>
      <c r="T91" s="679"/>
      <c r="U91" s="679"/>
      <c r="V91" s="679"/>
      <c r="W91" s="679"/>
      <c r="X91" s="680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4"/>
      <c r="AZ91" s="46"/>
      <c r="BA91" s="46"/>
      <c r="BB91" s="46"/>
      <c r="BC91" s="46"/>
      <c r="BD91" s="46"/>
      <c r="BF91" s="681"/>
      <c r="BG91" s="682"/>
      <c r="BH91" s="682"/>
      <c r="BI91" s="682"/>
      <c r="BJ91" s="682"/>
      <c r="BK91" s="682"/>
      <c r="BL91" s="682"/>
      <c r="BM91" s="682"/>
      <c r="BN91" s="682"/>
      <c r="BO91" s="682"/>
      <c r="BP91" s="682"/>
      <c r="BQ91" s="682"/>
      <c r="BR91" s="682"/>
      <c r="BS91" s="682"/>
      <c r="BT91" s="682"/>
      <c r="BU91" s="682"/>
      <c r="BV91" s="682"/>
      <c r="BW91" s="682"/>
      <c r="BX91" s="682"/>
      <c r="BY91" s="682"/>
      <c r="BZ91" s="682"/>
      <c r="CA91" s="683"/>
      <c r="CB91" s="46"/>
      <c r="CC91" s="45"/>
    </row>
    <row r="92" spans="1:81"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180"/>
      <c r="U92" s="180"/>
      <c r="V92" s="47"/>
      <c r="W92" s="47"/>
      <c r="X92" s="47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5"/>
    </row>
    <row r="93" spans="1:81">
      <c r="I93" s="46"/>
      <c r="J93" s="46"/>
      <c r="K93" s="46"/>
      <c r="L93" s="181" t="s">
        <v>188</v>
      </c>
      <c r="M93" s="684" t="str">
        <f>IF(OR(AND($R$3=FALSE,$S$3=FALSE,RegimeExecucao="Global"),AND($O$3=FALSE,$P$3=FALSE,$R$3=FALSE,$S$3=FALSE)),"Não foi considerado arredondamento nos valores da planilha.",CONCATENATE("Foi considerado arredondamento de duas casas decimais para ",IF(AND(RegimeExecucao="Unitário",$O$3=TRUE),"Quantidade; ",""),IF(AND(RegimeExecucao="Unitário",$P$3=TRUE),"Preço unitário; ",""),IF($R$3=TRUE,"Preço total; ",""),,IF($S$3=TRUE,"Medição.","")))</f>
        <v>Foi considerado arredondamento de duas casas decimais para Quantidade; Preço unitário; Preço total; Medição.</v>
      </c>
      <c r="N93" s="685"/>
      <c r="O93" s="685"/>
      <c r="P93" s="685"/>
      <c r="Q93" s="685"/>
      <c r="R93" s="686"/>
      <c r="S93" s="48"/>
      <c r="T93" s="182"/>
      <c r="U93" s="182"/>
      <c r="V93" s="47"/>
      <c r="W93" s="47"/>
      <c r="X93" s="47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5"/>
    </row>
    <row r="94" spans="1:81">
      <c r="I94" s="188"/>
      <c r="J94" s="188"/>
      <c r="K94" s="188"/>
      <c r="L94" s="687" t="s">
        <v>189</v>
      </c>
      <c r="M94" s="687"/>
      <c r="N94" s="687"/>
      <c r="O94" s="687"/>
      <c r="P94" s="687"/>
      <c r="Q94" s="687"/>
      <c r="R94" s="687"/>
      <c r="S94" s="687"/>
      <c r="T94" s="687"/>
      <c r="U94" s="687"/>
      <c r="V94" s="687"/>
      <c r="W94" s="687"/>
      <c r="X94" s="687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8"/>
      <c r="AJ94" s="188"/>
      <c r="AK94" s="188"/>
      <c r="AL94" s="188"/>
      <c r="AM94" s="188"/>
      <c r="AN94" s="188"/>
      <c r="AO94" s="188"/>
      <c r="AP94" s="188"/>
      <c r="AQ94" s="188"/>
      <c r="AR94" s="188"/>
      <c r="AS94" s="188"/>
      <c r="AT94" s="188"/>
      <c r="AU94" s="188"/>
      <c r="AV94" s="188"/>
      <c r="AW94" s="188"/>
      <c r="AX94" s="188"/>
      <c r="AY94" s="188"/>
      <c r="AZ94" s="188"/>
      <c r="BA94" s="188"/>
      <c r="BB94" s="188"/>
      <c r="BC94" s="188"/>
      <c r="BD94" s="188"/>
      <c r="BF94" s="188"/>
      <c r="BG94" s="188"/>
      <c r="BH94" s="188"/>
      <c r="BI94" s="188"/>
      <c r="BJ94" s="188"/>
      <c r="BK94" s="188"/>
      <c r="BL94" s="188"/>
      <c r="BM94" s="188"/>
      <c r="BN94" s="188"/>
      <c r="BO94" s="188"/>
      <c r="BP94" s="188"/>
      <c r="BQ94" s="188"/>
      <c r="BR94" s="188"/>
      <c r="BS94" s="188"/>
      <c r="BT94" s="188"/>
      <c r="BU94" s="188"/>
      <c r="BV94" s="188"/>
      <c r="BW94" s="188"/>
      <c r="BX94" s="188"/>
      <c r="BY94" s="188"/>
      <c r="BZ94" s="188"/>
      <c r="CA94" s="188"/>
      <c r="CB94" s="188"/>
      <c r="CC94" s="49" t="s">
        <v>189</v>
      </c>
    </row>
    <row r="95" spans="1:81" ht="409.6">
      <c r="I95" s="46"/>
      <c r="J95" s="46"/>
      <c r="K95" s="46"/>
      <c r="L95" s="688" t="s">
        <v>270</v>
      </c>
      <c r="M95" s="689"/>
      <c r="N95" s="50"/>
      <c r="O95" s="183"/>
      <c r="P95" s="183"/>
      <c r="Q95" s="183"/>
      <c r="R95" s="51"/>
      <c r="S95" s="51"/>
      <c r="T95" s="182"/>
      <c r="U95" s="184"/>
      <c r="V95" s="52"/>
      <c r="W95" s="52"/>
      <c r="X95" s="52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184"/>
      <c r="BB95" s="52"/>
      <c r="BC95" s="52"/>
      <c r="BD95" s="52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53" t="s">
        <v>190</v>
      </c>
    </row>
    <row r="96" spans="1:81">
      <c r="L96" s="690" t="s">
        <v>191</v>
      </c>
      <c r="M96" s="690"/>
      <c r="N96" s="185"/>
      <c r="P96" s="186" t="s">
        <v>192</v>
      </c>
      <c r="Q96" s="186"/>
      <c r="R96" s="691" t="s">
        <v>245</v>
      </c>
      <c r="S96" s="692"/>
      <c r="T96" s="187"/>
      <c r="V96" s="189" t="s">
        <v>192</v>
      </c>
      <c r="W96" s="693"/>
      <c r="X96" s="693"/>
      <c r="BA96" s="152"/>
      <c r="BB96" s="189" t="s">
        <v>193</v>
      </c>
      <c r="BC96" s="694"/>
      <c r="BD96" s="694"/>
      <c r="BI96" s="695" t="s">
        <v>193</v>
      </c>
      <c r="BJ96" s="695"/>
      <c r="BK96" s="695"/>
      <c r="BL96" s="695"/>
      <c r="BM96" s="695"/>
      <c r="BN96" s="677">
        <f>BC96</f>
        <v>0</v>
      </c>
      <c r="BO96" s="677"/>
      <c r="BP96" s="677"/>
      <c r="BQ96" s="677"/>
      <c r="BR96" s="677"/>
      <c r="BS96" s="677"/>
      <c r="BT96" s="677"/>
      <c r="BU96" s="677"/>
      <c r="BV96" s="677"/>
      <c r="BW96" s="677"/>
    </row>
    <row r="97" spans="16:75">
      <c r="P97" s="186" t="s">
        <v>194</v>
      </c>
      <c r="Q97" s="186"/>
      <c r="R97" s="669" t="s">
        <v>246</v>
      </c>
      <c r="S97" s="670"/>
      <c r="T97" s="187"/>
      <c r="V97" s="56" t="s">
        <v>194</v>
      </c>
      <c r="W97" s="671"/>
      <c r="X97" s="672"/>
      <c r="BA97" s="152"/>
      <c r="BB97" s="56" t="s">
        <v>195</v>
      </c>
      <c r="BC97" s="673"/>
      <c r="BD97" s="674"/>
      <c r="BI97" s="675" t="s">
        <v>195</v>
      </c>
      <c r="BJ97" s="675"/>
      <c r="BK97" s="675"/>
      <c r="BL97" s="675"/>
      <c r="BM97" s="675"/>
      <c r="BN97" s="676">
        <f>BC97</f>
        <v>0</v>
      </c>
      <c r="BO97" s="676"/>
      <c r="BP97" s="676"/>
      <c r="BQ97" s="676"/>
      <c r="BR97" s="676"/>
      <c r="BS97" s="676"/>
      <c r="BT97" s="676"/>
      <c r="BU97" s="676"/>
      <c r="BV97" s="676"/>
      <c r="BW97" s="676"/>
    </row>
    <row r="98" spans="16:75">
      <c r="P98" s="186" t="s">
        <v>196</v>
      </c>
      <c r="Q98" s="186"/>
      <c r="R98" s="669" t="s">
        <v>247</v>
      </c>
      <c r="S98" s="670"/>
      <c r="T98" s="187"/>
      <c r="V98" s="56" t="s">
        <v>196</v>
      </c>
      <c r="W98" s="671"/>
      <c r="X98" s="672"/>
      <c r="BA98" s="152"/>
      <c r="BB98" s="56" t="s">
        <v>194</v>
      </c>
      <c r="BC98" s="673"/>
      <c r="BD98" s="674"/>
      <c r="BI98" s="675" t="s">
        <v>194</v>
      </c>
      <c r="BJ98" s="675"/>
      <c r="BK98" s="675"/>
      <c r="BL98" s="675"/>
      <c r="BM98" s="675"/>
      <c r="BN98" s="676">
        <f>BC98</f>
        <v>0</v>
      </c>
      <c r="BO98" s="676"/>
      <c r="BP98" s="676"/>
      <c r="BQ98" s="676"/>
      <c r="BR98" s="676"/>
      <c r="BS98" s="676"/>
      <c r="BT98" s="676"/>
      <c r="BU98" s="676"/>
      <c r="BV98" s="676"/>
      <c r="BW98" s="676"/>
    </row>
  </sheetData>
  <mergeCells count="524">
    <mergeCell ref="BN1:BQ1"/>
    <mergeCell ref="BR1:BU1"/>
    <mergeCell ref="BV1:CA1"/>
    <mergeCell ref="M5:P5"/>
    <mergeCell ref="X5:X6"/>
    <mergeCell ref="U7:V7"/>
    <mergeCell ref="O8:R8"/>
    <mergeCell ref="AE8:AF8"/>
    <mergeCell ref="AQ8:AR8"/>
    <mergeCell ref="BF1:BG1"/>
    <mergeCell ref="BI1:BJ1"/>
    <mergeCell ref="BK1:BM1"/>
    <mergeCell ref="BN10:BQ10"/>
    <mergeCell ref="BR10:BU10"/>
    <mergeCell ref="BV10:CA10"/>
    <mergeCell ref="BF8:BH8"/>
    <mergeCell ref="L9:M9"/>
    <mergeCell ref="S9:U9"/>
    <mergeCell ref="V9:X9"/>
    <mergeCell ref="AY9:BA9"/>
    <mergeCell ref="BB9:BD9"/>
    <mergeCell ref="BF9:BH9"/>
    <mergeCell ref="L11:N11"/>
    <mergeCell ref="O11:P11"/>
    <mergeCell ref="AC11:AH11"/>
    <mergeCell ref="AO11:AT11"/>
    <mergeCell ref="BF11:BG11"/>
    <mergeCell ref="BI11:BJ11"/>
    <mergeCell ref="BF10:BG10"/>
    <mergeCell ref="BI10:BJ10"/>
    <mergeCell ref="BK10:BM10"/>
    <mergeCell ref="BF13:BG13"/>
    <mergeCell ref="BI13:BJ13"/>
    <mergeCell ref="BK13:BM13"/>
    <mergeCell ref="BN13:BQ13"/>
    <mergeCell ref="BR13:BU13"/>
    <mergeCell ref="BV13:CA13"/>
    <mergeCell ref="BK11:BM11"/>
    <mergeCell ref="BN11:BQ11"/>
    <mergeCell ref="BR11:BU11"/>
    <mergeCell ref="BV11:CA11"/>
    <mergeCell ref="BF12:BG12"/>
    <mergeCell ref="BI12:BJ12"/>
    <mergeCell ref="BK12:BM12"/>
    <mergeCell ref="BN12:BQ12"/>
    <mergeCell ref="BR12:BU12"/>
    <mergeCell ref="BV12:CA12"/>
    <mergeCell ref="BF15:BG15"/>
    <mergeCell ref="BI15:BJ15"/>
    <mergeCell ref="BK15:BM15"/>
    <mergeCell ref="BN15:BQ15"/>
    <mergeCell ref="BR15:BU15"/>
    <mergeCell ref="BV15:CA15"/>
    <mergeCell ref="BF14:BG14"/>
    <mergeCell ref="BI14:BJ14"/>
    <mergeCell ref="BK14:BM14"/>
    <mergeCell ref="BN14:BQ14"/>
    <mergeCell ref="BR14:BU14"/>
    <mergeCell ref="BV14:CA14"/>
    <mergeCell ref="BF17:BG17"/>
    <mergeCell ref="BI17:BJ17"/>
    <mergeCell ref="BK17:BM17"/>
    <mergeCell ref="BN17:BQ17"/>
    <mergeCell ref="BR17:BU17"/>
    <mergeCell ref="BV17:CA17"/>
    <mergeCell ref="BF16:BG16"/>
    <mergeCell ref="BI16:BJ16"/>
    <mergeCell ref="BK16:BM16"/>
    <mergeCell ref="BN16:BQ16"/>
    <mergeCell ref="BR16:BU16"/>
    <mergeCell ref="BV16:CA16"/>
    <mergeCell ref="BF19:BG19"/>
    <mergeCell ref="BI19:BJ19"/>
    <mergeCell ref="BK19:BM19"/>
    <mergeCell ref="BN19:BQ19"/>
    <mergeCell ref="BR19:BU19"/>
    <mergeCell ref="BV19:CA19"/>
    <mergeCell ref="BF18:BG18"/>
    <mergeCell ref="BI18:BJ18"/>
    <mergeCell ref="BK18:BM18"/>
    <mergeCell ref="BN18:BQ18"/>
    <mergeCell ref="BR18:BU18"/>
    <mergeCell ref="BV18:CA18"/>
    <mergeCell ref="BF21:BG21"/>
    <mergeCell ref="BI21:BJ21"/>
    <mergeCell ref="BK21:BM21"/>
    <mergeCell ref="BN21:BQ21"/>
    <mergeCell ref="BR21:BU21"/>
    <mergeCell ref="BV21:CA21"/>
    <mergeCell ref="BF20:BG20"/>
    <mergeCell ref="BI20:BJ20"/>
    <mergeCell ref="BK20:BM20"/>
    <mergeCell ref="BN20:BQ20"/>
    <mergeCell ref="BR20:BU20"/>
    <mergeCell ref="BV20:CA20"/>
    <mergeCell ref="BF23:BG23"/>
    <mergeCell ref="BI23:BJ23"/>
    <mergeCell ref="BK23:BM23"/>
    <mergeCell ref="BN23:BQ23"/>
    <mergeCell ref="BR23:BU23"/>
    <mergeCell ref="BV23:CA23"/>
    <mergeCell ref="BF22:BG22"/>
    <mergeCell ref="BI22:BJ22"/>
    <mergeCell ref="BK22:BM22"/>
    <mergeCell ref="BN22:BQ22"/>
    <mergeCell ref="BR22:BU22"/>
    <mergeCell ref="BV22:CA22"/>
    <mergeCell ref="BF25:BG25"/>
    <mergeCell ref="BI25:BJ25"/>
    <mergeCell ref="BK25:BM25"/>
    <mergeCell ref="BN25:BQ25"/>
    <mergeCell ref="BR25:BU25"/>
    <mergeCell ref="BV25:CA25"/>
    <mergeCell ref="BF24:BG24"/>
    <mergeCell ref="BI24:BJ24"/>
    <mergeCell ref="BK24:BM24"/>
    <mergeCell ref="BN24:BQ24"/>
    <mergeCell ref="BR24:BU24"/>
    <mergeCell ref="BV24:CA24"/>
    <mergeCell ref="BF27:BG27"/>
    <mergeCell ref="BI27:BJ27"/>
    <mergeCell ref="BK27:BM27"/>
    <mergeCell ref="BN27:BQ27"/>
    <mergeCell ref="BR27:BU27"/>
    <mergeCell ref="BV27:CA27"/>
    <mergeCell ref="BF26:BG26"/>
    <mergeCell ref="BI26:BJ26"/>
    <mergeCell ref="BK26:BM26"/>
    <mergeCell ref="BN26:BQ26"/>
    <mergeCell ref="BR26:BU26"/>
    <mergeCell ref="BV26:CA26"/>
    <mergeCell ref="BF29:BG29"/>
    <mergeCell ref="BI29:BJ29"/>
    <mergeCell ref="BK29:BM29"/>
    <mergeCell ref="BN29:BQ29"/>
    <mergeCell ref="BR29:BU29"/>
    <mergeCell ref="BV29:CA29"/>
    <mergeCell ref="BF28:BG28"/>
    <mergeCell ref="BI28:BJ28"/>
    <mergeCell ref="BK28:BM28"/>
    <mergeCell ref="BN28:BQ28"/>
    <mergeCell ref="BR28:BU28"/>
    <mergeCell ref="BV28:CA28"/>
    <mergeCell ref="BF31:BG31"/>
    <mergeCell ref="BI31:BJ31"/>
    <mergeCell ref="BK31:BM31"/>
    <mergeCell ref="BN31:BQ31"/>
    <mergeCell ref="BR31:BU31"/>
    <mergeCell ref="BV31:CA31"/>
    <mergeCell ref="BF30:BG30"/>
    <mergeCell ref="BI30:BJ30"/>
    <mergeCell ref="BK30:BM30"/>
    <mergeCell ref="BN30:BQ30"/>
    <mergeCell ref="BR30:BU30"/>
    <mergeCell ref="BV30:CA30"/>
    <mergeCell ref="BF33:BG33"/>
    <mergeCell ref="BI33:BJ33"/>
    <mergeCell ref="BK33:BM33"/>
    <mergeCell ref="BN33:BQ33"/>
    <mergeCell ref="BR33:BU33"/>
    <mergeCell ref="BV33:CA33"/>
    <mergeCell ref="BF32:BG32"/>
    <mergeCell ref="BI32:BJ32"/>
    <mergeCell ref="BK32:BM32"/>
    <mergeCell ref="BN32:BQ32"/>
    <mergeCell ref="BR32:BU32"/>
    <mergeCell ref="BV32:CA32"/>
    <mergeCell ref="BF35:BG35"/>
    <mergeCell ref="BI35:BJ35"/>
    <mergeCell ref="BK35:BM35"/>
    <mergeCell ref="BN35:BQ35"/>
    <mergeCell ref="BR35:BU35"/>
    <mergeCell ref="BV35:CA35"/>
    <mergeCell ref="BF34:BG34"/>
    <mergeCell ref="BI34:BJ34"/>
    <mergeCell ref="BK34:BM34"/>
    <mergeCell ref="BN34:BQ34"/>
    <mergeCell ref="BR34:BU34"/>
    <mergeCell ref="BV34:CA34"/>
    <mergeCell ref="BF37:BG37"/>
    <mergeCell ref="BI37:BJ37"/>
    <mergeCell ref="BK37:BM37"/>
    <mergeCell ref="BN37:BQ37"/>
    <mergeCell ref="BR37:BU37"/>
    <mergeCell ref="BV37:CA37"/>
    <mergeCell ref="BF36:BG36"/>
    <mergeCell ref="BI36:BJ36"/>
    <mergeCell ref="BK36:BM36"/>
    <mergeCell ref="BN36:BQ36"/>
    <mergeCell ref="BR36:BU36"/>
    <mergeCell ref="BV36:CA36"/>
    <mergeCell ref="BF39:BG39"/>
    <mergeCell ref="BI39:BJ39"/>
    <mergeCell ref="BK39:BM39"/>
    <mergeCell ref="BN39:BQ39"/>
    <mergeCell ref="BR39:BU39"/>
    <mergeCell ref="BV39:CA39"/>
    <mergeCell ref="BF38:BG38"/>
    <mergeCell ref="BI38:BJ38"/>
    <mergeCell ref="BK38:BM38"/>
    <mergeCell ref="BN38:BQ38"/>
    <mergeCell ref="BR38:BU38"/>
    <mergeCell ref="BV38:CA38"/>
    <mergeCell ref="BF41:BG41"/>
    <mergeCell ref="BI41:BJ41"/>
    <mergeCell ref="BK41:BM41"/>
    <mergeCell ref="BN41:BQ41"/>
    <mergeCell ref="BR41:BU41"/>
    <mergeCell ref="BV41:CA41"/>
    <mergeCell ref="BF40:BG40"/>
    <mergeCell ref="BI40:BJ40"/>
    <mergeCell ref="BK40:BM40"/>
    <mergeCell ref="BN40:BQ40"/>
    <mergeCell ref="BR40:BU40"/>
    <mergeCell ref="BV40:CA40"/>
    <mergeCell ref="BF43:BG43"/>
    <mergeCell ref="BI43:BJ43"/>
    <mergeCell ref="BK43:BM43"/>
    <mergeCell ref="BN43:BQ43"/>
    <mergeCell ref="BR43:BU43"/>
    <mergeCell ref="BV43:CA43"/>
    <mergeCell ref="BF42:BG42"/>
    <mergeCell ref="BI42:BJ42"/>
    <mergeCell ref="BK42:BM42"/>
    <mergeCell ref="BN42:BQ42"/>
    <mergeCell ref="BR42:BU42"/>
    <mergeCell ref="BV42:CA42"/>
    <mergeCell ref="BF45:BG45"/>
    <mergeCell ref="BI45:BJ45"/>
    <mergeCell ref="BK45:BM45"/>
    <mergeCell ref="BN45:BQ45"/>
    <mergeCell ref="BR45:BU45"/>
    <mergeCell ref="BV45:CA45"/>
    <mergeCell ref="BF44:BG44"/>
    <mergeCell ref="BI44:BJ44"/>
    <mergeCell ref="BK44:BM44"/>
    <mergeCell ref="BN44:BQ44"/>
    <mergeCell ref="BR44:BU44"/>
    <mergeCell ref="BV44:CA44"/>
    <mergeCell ref="BF47:BG47"/>
    <mergeCell ref="BI47:BJ47"/>
    <mergeCell ref="BK47:BM47"/>
    <mergeCell ref="BN47:BQ47"/>
    <mergeCell ref="BR47:BU47"/>
    <mergeCell ref="BV47:CA47"/>
    <mergeCell ref="BF46:BG46"/>
    <mergeCell ref="BI46:BJ46"/>
    <mergeCell ref="BK46:BM46"/>
    <mergeCell ref="BN46:BQ46"/>
    <mergeCell ref="BR46:BU46"/>
    <mergeCell ref="BV46:CA46"/>
    <mergeCell ref="BF49:BG49"/>
    <mergeCell ref="BI49:BJ49"/>
    <mergeCell ref="BK49:BM49"/>
    <mergeCell ref="BN49:BQ49"/>
    <mergeCell ref="BR49:BU49"/>
    <mergeCell ref="BV49:CA49"/>
    <mergeCell ref="BF48:BG48"/>
    <mergeCell ref="BI48:BJ48"/>
    <mergeCell ref="BK48:BM48"/>
    <mergeCell ref="BN48:BQ48"/>
    <mergeCell ref="BR48:BU48"/>
    <mergeCell ref="BV48:CA48"/>
    <mergeCell ref="BF51:BG51"/>
    <mergeCell ref="BI51:BJ51"/>
    <mergeCell ref="BK51:BM51"/>
    <mergeCell ref="BN51:BQ51"/>
    <mergeCell ref="BR51:BU51"/>
    <mergeCell ref="BV51:CA51"/>
    <mergeCell ref="BF50:BG50"/>
    <mergeCell ref="BI50:BJ50"/>
    <mergeCell ref="BK50:BM50"/>
    <mergeCell ref="BN50:BQ50"/>
    <mergeCell ref="BR50:BU50"/>
    <mergeCell ref="BV50:CA50"/>
    <mergeCell ref="BF53:BG53"/>
    <mergeCell ref="BI53:BJ53"/>
    <mergeCell ref="BK53:BM53"/>
    <mergeCell ref="BN53:BQ53"/>
    <mergeCell ref="BR53:BU53"/>
    <mergeCell ref="BV53:CA53"/>
    <mergeCell ref="BF52:BG52"/>
    <mergeCell ref="BI52:BJ52"/>
    <mergeCell ref="BK52:BM52"/>
    <mergeCell ref="BN52:BQ52"/>
    <mergeCell ref="BR52:BU52"/>
    <mergeCell ref="BV52:CA52"/>
    <mergeCell ref="BF55:BG55"/>
    <mergeCell ref="BI55:BJ55"/>
    <mergeCell ref="BK55:BM55"/>
    <mergeCell ref="BN55:BQ55"/>
    <mergeCell ref="BR55:BU55"/>
    <mergeCell ref="BV55:CA55"/>
    <mergeCell ref="BF54:BG54"/>
    <mergeCell ref="BI54:BJ54"/>
    <mergeCell ref="BK54:BM54"/>
    <mergeCell ref="BN54:BQ54"/>
    <mergeCell ref="BR54:BU54"/>
    <mergeCell ref="BV54:CA54"/>
    <mergeCell ref="BF57:BG57"/>
    <mergeCell ref="BI57:BJ57"/>
    <mergeCell ref="BK57:BM57"/>
    <mergeCell ref="BN57:BQ57"/>
    <mergeCell ref="BR57:BU57"/>
    <mergeCell ref="BV57:CA57"/>
    <mergeCell ref="BF56:BG56"/>
    <mergeCell ref="BI56:BJ56"/>
    <mergeCell ref="BK56:BM56"/>
    <mergeCell ref="BN56:BQ56"/>
    <mergeCell ref="BR56:BU56"/>
    <mergeCell ref="BV56:CA56"/>
    <mergeCell ref="BF59:BG59"/>
    <mergeCell ref="BI59:BJ59"/>
    <mergeCell ref="BK59:BM59"/>
    <mergeCell ref="BN59:BQ59"/>
    <mergeCell ref="BR59:BU59"/>
    <mergeCell ref="BV59:CA59"/>
    <mergeCell ref="BF58:BG58"/>
    <mergeCell ref="BI58:BJ58"/>
    <mergeCell ref="BK58:BM58"/>
    <mergeCell ref="BN58:BQ58"/>
    <mergeCell ref="BR58:BU58"/>
    <mergeCell ref="BV58:CA58"/>
    <mergeCell ref="BF61:BG61"/>
    <mergeCell ref="BI61:BJ61"/>
    <mergeCell ref="BK61:BM61"/>
    <mergeCell ref="BN61:BQ61"/>
    <mergeCell ref="BR61:BU61"/>
    <mergeCell ref="BV61:CA61"/>
    <mergeCell ref="BF60:BG60"/>
    <mergeCell ref="BI60:BJ60"/>
    <mergeCell ref="BK60:BM60"/>
    <mergeCell ref="BN60:BQ60"/>
    <mergeCell ref="BR60:BU60"/>
    <mergeCell ref="BV60:CA60"/>
    <mergeCell ref="BF63:BG63"/>
    <mergeCell ref="BI63:BJ63"/>
    <mergeCell ref="BK63:BM63"/>
    <mergeCell ref="BN63:BQ63"/>
    <mergeCell ref="BR63:BU63"/>
    <mergeCell ref="BV63:CA63"/>
    <mergeCell ref="BF62:BG62"/>
    <mergeCell ref="BI62:BJ62"/>
    <mergeCell ref="BK62:BM62"/>
    <mergeCell ref="BN62:BQ62"/>
    <mergeCell ref="BR62:BU62"/>
    <mergeCell ref="BV62:CA62"/>
    <mergeCell ref="BF65:BG65"/>
    <mergeCell ref="BI65:BJ65"/>
    <mergeCell ref="BK65:BM65"/>
    <mergeCell ref="BN65:BQ65"/>
    <mergeCell ref="BR65:BU65"/>
    <mergeCell ref="BV65:CA65"/>
    <mergeCell ref="BF64:BG64"/>
    <mergeCell ref="BI64:BJ64"/>
    <mergeCell ref="BK64:BM64"/>
    <mergeCell ref="BN64:BQ64"/>
    <mergeCell ref="BR64:BU64"/>
    <mergeCell ref="BV64:CA64"/>
    <mergeCell ref="BF67:BG67"/>
    <mergeCell ref="BI67:BJ67"/>
    <mergeCell ref="BK67:BM67"/>
    <mergeCell ref="BN67:BQ67"/>
    <mergeCell ref="BR67:BU67"/>
    <mergeCell ref="BV67:CA67"/>
    <mergeCell ref="BF66:BG66"/>
    <mergeCell ref="BI66:BJ66"/>
    <mergeCell ref="BK66:BM66"/>
    <mergeCell ref="BN66:BQ66"/>
    <mergeCell ref="BR66:BU66"/>
    <mergeCell ref="BV66:CA66"/>
    <mergeCell ref="BF69:BG69"/>
    <mergeCell ref="BI69:BJ69"/>
    <mergeCell ref="BK69:BM69"/>
    <mergeCell ref="BN69:BQ69"/>
    <mergeCell ref="BR69:BU69"/>
    <mergeCell ref="BV69:CA69"/>
    <mergeCell ref="BF68:BG68"/>
    <mergeCell ref="BI68:BJ68"/>
    <mergeCell ref="BK68:BM68"/>
    <mergeCell ref="BN68:BQ68"/>
    <mergeCell ref="BR68:BU68"/>
    <mergeCell ref="BV68:CA68"/>
    <mergeCell ref="BF71:BG71"/>
    <mergeCell ref="BI71:BJ71"/>
    <mergeCell ref="BK71:BM71"/>
    <mergeCell ref="BN71:BQ71"/>
    <mergeCell ref="BR71:BU71"/>
    <mergeCell ref="BV71:CA71"/>
    <mergeCell ref="BF70:BG70"/>
    <mergeCell ref="BI70:BJ70"/>
    <mergeCell ref="BK70:BM70"/>
    <mergeCell ref="BN70:BQ70"/>
    <mergeCell ref="BR70:BU70"/>
    <mergeCell ref="BV70:CA70"/>
    <mergeCell ref="BF73:BG73"/>
    <mergeCell ref="BI73:BJ73"/>
    <mergeCell ref="BK73:BM73"/>
    <mergeCell ref="BN73:BQ73"/>
    <mergeCell ref="BR73:BU73"/>
    <mergeCell ref="BV73:CA73"/>
    <mergeCell ref="BF72:BG72"/>
    <mergeCell ref="BI72:BJ72"/>
    <mergeCell ref="BK72:BM72"/>
    <mergeCell ref="BN72:BQ72"/>
    <mergeCell ref="BR72:BU72"/>
    <mergeCell ref="BV72:CA72"/>
    <mergeCell ref="BF75:BG75"/>
    <mergeCell ref="BI75:BJ75"/>
    <mergeCell ref="BK75:BM75"/>
    <mergeCell ref="BN75:BQ75"/>
    <mergeCell ref="BR75:BU75"/>
    <mergeCell ref="BV75:CA75"/>
    <mergeCell ref="BF74:BG74"/>
    <mergeCell ref="BI74:BJ74"/>
    <mergeCell ref="BK74:BM74"/>
    <mergeCell ref="BN74:BQ74"/>
    <mergeCell ref="BR74:BU74"/>
    <mergeCell ref="BV74:CA74"/>
    <mergeCell ref="BF77:BG77"/>
    <mergeCell ref="BI77:BJ77"/>
    <mergeCell ref="BK77:BM77"/>
    <mergeCell ref="BN77:BQ77"/>
    <mergeCell ref="BR77:BU77"/>
    <mergeCell ref="BV77:CA77"/>
    <mergeCell ref="BF76:BG76"/>
    <mergeCell ref="BI76:BJ76"/>
    <mergeCell ref="BK76:BM76"/>
    <mergeCell ref="BN76:BQ76"/>
    <mergeCell ref="BR76:BU76"/>
    <mergeCell ref="BV76:CA76"/>
    <mergeCell ref="BF79:BG79"/>
    <mergeCell ref="BI79:BJ79"/>
    <mergeCell ref="BK79:BM79"/>
    <mergeCell ref="BN79:BQ79"/>
    <mergeCell ref="BR79:BU79"/>
    <mergeCell ref="BV79:CA79"/>
    <mergeCell ref="BF78:BG78"/>
    <mergeCell ref="BI78:BJ78"/>
    <mergeCell ref="BK78:BM78"/>
    <mergeCell ref="BN78:BQ78"/>
    <mergeCell ref="BR78:BU78"/>
    <mergeCell ref="BV78:CA78"/>
    <mergeCell ref="BF81:BG81"/>
    <mergeCell ref="BI81:BJ81"/>
    <mergeCell ref="BK81:BM81"/>
    <mergeCell ref="BN81:BQ81"/>
    <mergeCell ref="BR81:BU81"/>
    <mergeCell ref="BV81:CA81"/>
    <mergeCell ref="BF80:BG80"/>
    <mergeCell ref="BI80:BJ80"/>
    <mergeCell ref="BK80:BM80"/>
    <mergeCell ref="BN80:BQ80"/>
    <mergeCell ref="BR80:BU80"/>
    <mergeCell ref="BV80:CA80"/>
    <mergeCell ref="BF83:BG83"/>
    <mergeCell ref="BI83:BJ83"/>
    <mergeCell ref="BK83:BM83"/>
    <mergeCell ref="BN83:BQ83"/>
    <mergeCell ref="BR83:BU83"/>
    <mergeCell ref="BV83:CA83"/>
    <mergeCell ref="BF82:BG82"/>
    <mergeCell ref="BI82:BJ82"/>
    <mergeCell ref="BK82:BM82"/>
    <mergeCell ref="BN82:BQ82"/>
    <mergeCell ref="BR82:BU82"/>
    <mergeCell ref="BV82:CA82"/>
    <mergeCell ref="BF85:BG85"/>
    <mergeCell ref="BI85:BJ85"/>
    <mergeCell ref="BK85:BM85"/>
    <mergeCell ref="BN85:BQ85"/>
    <mergeCell ref="BR85:BU85"/>
    <mergeCell ref="BV85:CA85"/>
    <mergeCell ref="BF84:BG84"/>
    <mergeCell ref="BI84:BJ84"/>
    <mergeCell ref="BK84:BM84"/>
    <mergeCell ref="BN84:BQ84"/>
    <mergeCell ref="BR84:BU84"/>
    <mergeCell ref="BV84:CA84"/>
    <mergeCell ref="BF87:BG87"/>
    <mergeCell ref="BI87:BJ87"/>
    <mergeCell ref="BK87:BM87"/>
    <mergeCell ref="BN87:BQ87"/>
    <mergeCell ref="BR87:BU87"/>
    <mergeCell ref="BV87:CA87"/>
    <mergeCell ref="BF86:BG86"/>
    <mergeCell ref="BI86:BJ86"/>
    <mergeCell ref="BK86:BM86"/>
    <mergeCell ref="BN86:BQ86"/>
    <mergeCell ref="BR86:BU86"/>
    <mergeCell ref="BV86:CA86"/>
    <mergeCell ref="BF89:BG89"/>
    <mergeCell ref="BI89:BJ89"/>
    <mergeCell ref="BK89:BM89"/>
    <mergeCell ref="BN89:BQ89"/>
    <mergeCell ref="BR89:BU89"/>
    <mergeCell ref="BV89:CA89"/>
    <mergeCell ref="BF88:BG88"/>
    <mergeCell ref="BI88:BJ88"/>
    <mergeCell ref="BK88:BM88"/>
    <mergeCell ref="BN88:BQ88"/>
    <mergeCell ref="BR88:BU88"/>
    <mergeCell ref="BV88:CA88"/>
    <mergeCell ref="M91:X91"/>
    <mergeCell ref="BF91:CA91"/>
    <mergeCell ref="M93:R93"/>
    <mergeCell ref="L94:X94"/>
    <mergeCell ref="L95:M95"/>
    <mergeCell ref="L96:M96"/>
    <mergeCell ref="R96:S96"/>
    <mergeCell ref="W96:X96"/>
    <mergeCell ref="BC96:BD96"/>
    <mergeCell ref="BI96:BM96"/>
    <mergeCell ref="R98:S98"/>
    <mergeCell ref="W98:X98"/>
    <mergeCell ref="BC98:BD98"/>
    <mergeCell ref="BI98:BM98"/>
    <mergeCell ref="BN98:BW98"/>
    <mergeCell ref="BN96:BW96"/>
    <mergeCell ref="R97:S97"/>
    <mergeCell ref="W97:X97"/>
    <mergeCell ref="BC97:BD97"/>
    <mergeCell ref="BI97:BM97"/>
    <mergeCell ref="BN97:BW97"/>
  </mergeCells>
  <conditionalFormatting sqref="O95:S98">
    <cfRule type="expression" dxfId="88" priority="27" stopIfTrue="1">
      <formula>OR($R$96="",CAIXA.modo=TRUE())</formula>
    </cfRule>
  </conditionalFormatting>
  <conditionalFormatting sqref="K1 K12:K88">
    <cfRule type="expression" dxfId="87" priority="25" stopIfTrue="1">
      <formula>$K1="Meta"</formula>
    </cfRule>
    <cfRule type="expression" dxfId="86" priority="26" stopIfTrue="1">
      <formula>$A1&lt;&gt;"S"</formula>
    </cfRule>
  </conditionalFormatting>
  <conditionalFormatting sqref="Z1:AW1 Z12:AW88">
    <cfRule type="expression" dxfId="85" priority="23" stopIfTrue="1">
      <formula>$K1=$C$3</formula>
    </cfRule>
    <cfRule type="expression" dxfId="84" priority="24" stopIfTrue="1">
      <formula>$A1&lt;&gt;"S"</formula>
    </cfRule>
  </conditionalFormatting>
  <conditionalFormatting sqref="BF1:CA1 BF12:CA88">
    <cfRule type="expression" dxfId="83" priority="21" stopIfTrue="1">
      <formula>$K1=$C$3</formula>
    </cfRule>
    <cfRule type="expression" dxfId="82" priority="22" stopIfTrue="1">
      <formula>$A1&lt;&gt;"S"</formula>
    </cfRule>
  </conditionalFormatting>
  <conditionalFormatting sqref="AY1:BD1 L1:P1 R1:X1 AY12:BD88 L12:P88 X13:X88 R12:W88">
    <cfRule type="expression" dxfId="81" priority="18" stopIfTrue="1">
      <formula>OR($U1&lt;0,AND($U1&gt;100,RegimeExecucao="Global"),AND($U1&gt;ROUND($O1,2),RegimeExecucao="Unitário"))</formula>
    </cfRule>
    <cfRule type="expression" dxfId="80" priority="19" stopIfTrue="1">
      <formula>$K1=$C$3</formula>
    </cfRule>
    <cfRule type="expression" dxfId="79" priority="20" stopIfTrue="1">
      <formula>$A1&lt;&gt;"S"</formula>
    </cfRule>
  </conditionalFormatting>
  <conditionalFormatting sqref="Q1 Q12:Q88">
    <cfRule type="expression" dxfId="78" priority="15" stopIfTrue="1">
      <formula>AND($A1&lt;&gt;"S",RegimeExecucao="Global",$Q1&lt;&gt;$R1,$Q1&lt;&gt;0)</formula>
    </cfRule>
    <cfRule type="expression" dxfId="77" priority="16" stopIfTrue="1">
      <formula>$K1=$C$3</formula>
    </cfRule>
    <cfRule type="expression" dxfId="76" priority="17" stopIfTrue="1">
      <formula>$A1&lt;&gt;"S"</formula>
    </cfRule>
  </conditionalFormatting>
  <conditionalFormatting sqref="M6">
    <cfRule type="expression" dxfId="75" priority="14" stopIfTrue="1">
      <formula>Import.RegimeExecução=""</formula>
    </cfRule>
  </conditionalFormatting>
  <conditionalFormatting sqref="O95:S98">
    <cfRule type="expression" dxfId="74" priority="13" stopIfTrue="1">
      <formula>OR($R$96="",CAIXA.modo=TRUE())</formula>
    </cfRule>
  </conditionalFormatting>
  <conditionalFormatting sqref="K1 K12:K88">
    <cfRule type="expression" dxfId="73" priority="11" stopIfTrue="1">
      <formula>$K1="Meta"</formula>
    </cfRule>
    <cfRule type="expression" dxfId="72" priority="12" stopIfTrue="1">
      <formula>$A1&lt;&gt;"S"</formula>
    </cfRule>
  </conditionalFormatting>
  <conditionalFormatting sqref="Z1:AW1 Z12:AW88">
    <cfRule type="expression" dxfId="71" priority="9" stopIfTrue="1">
      <formula>$K1=$C$3</formula>
    </cfRule>
    <cfRule type="expression" dxfId="70" priority="10" stopIfTrue="1">
      <formula>$A1&lt;&gt;"S"</formula>
    </cfRule>
  </conditionalFormatting>
  <conditionalFormatting sqref="BF1:CA1 BF12:CA88">
    <cfRule type="expression" dxfId="69" priority="7" stopIfTrue="1">
      <formula>$K1=$C$3</formula>
    </cfRule>
    <cfRule type="expression" dxfId="68" priority="8" stopIfTrue="1">
      <formula>$A1&lt;&gt;"S"</formula>
    </cfRule>
  </conditionalFormatting>
  <conditionalFormatting sqref="AY1:BD1 L1:P1 R1:X1 AY12:BD88 L12:P88 X13:X88 R12:W88">
    <cfRule type="expression" dxfId="67" priority="4" stopIfTrue="1">
      <formula>OR($U1&lt;0,AND($U1&gt;100,RegimeExecucao="Global"),AND($U1&gt;ROUND($O1,2),RegimeExecucao="Unitário"))</formula>
    </cfRule>
    <cfRule type="expression" dxfId="66" priority="5" stopIfTrue="1">
      <formula>$K1=$C$3</formula>
    </cfRule>
    <cfRule type="expression" dxfId="65" priority="6" stopIfTrue="1">
      <formula>$A1&lt;&gt;"S"</formula>
    </cfRule>
  </conditionalFormatting>
  <conditionalFormatting sqref="Q1 Q12:Q88">
    <cfRule type="expression" dxfId="64" priority="1" stopIfTrue="1">
      <formula>AND($A1&lt;&gt;"S",RegimeExecucao="Global",$Q1&lt;&gt;$R1,$Q1&lt;&gt;0)</formula>
    </cfRule>
    <cfRule type="expression" dxfId="63" priority="2" stopIfTrue="1">
      <formula>$K1=$C$3</formula>
    </cfRule>
    <cfRule type="expression" dxfId="62" priority="3" stopIfTrue="1">
      <formula>$A1&lt;&gt;"S"</formula>
    </cfRule>
  </conditionalFormatting>
  <dataValidations count="7">
    <dataValidation type="decimal" errorStyle="warning" operator="greaterThanOrEqual" allowBlank="1" showInputMessage="1" showErrorMessage="1" errorTitle="Erro" error="Os valores devem ser maiores que 0." sqref="O12:Q88 O1:Q1">
      <formula1>0</formula1>
    </dataValidation>
    <dataValidation allowBlank="1" showInputMessage="1" showErrorMessage="1" prompt="Digite a data das medições nas colunas amarelas à direita &gt;&gt;&gt;&gt;" sqref="U7:V7"/>
    <dataValidation type="decimal" errorStyle="warning" allowBlank="1" showInputMessage="1" showErrorMessage="1" errorTitle="Atenção! " error="% medido é superior a 100% (Global)&#10;ou&#10;Quantidade é superior à contratada (P. Unit)&#10;ou&#10;Evolução acumulada negativa" sqref="Z12:AW88 Z1:AW1">
      <formula1>(SUM($Y1:Z1))*-1</formula1>
      <formula2>IF($I$8="Global",100-SUM($Z1:$AW1)+Z1,ROUND($O1,2)-SUM($Z1:$AW1)+Z1)</formula2>
    </dataValidation>
    <dataValidation type="list" showInputMessage="1" showErrorMessage="1" errorTitle="Erro de Entrada" error="Selecione somente os itens da lista." promptTitle="Nível:" prompt="Selecione na lista o nível de itemização da Planilha." sqref="K12:K88 K1">
      <formula1>$C$3:$G$3</formula1>
    </dataValidation>
    <dataValidation type="whole" operator="greaterThan" allowBlank="1" showInputMessage="1" showErrorMessage="1" errorTitle="Atenção" error="Deve ser digitado apenas o NÚMERO da primeira medição" sqref="Z10">
      <formula1>0</formula1>
    </dataValidation>
    <dataValidation type="list" allowBlank="1" showInputMessage="1" sqref="BV11:CA88 BV1:CA1">
      <formula1>glosas</formula1>
    </dataValidation>
    <dataValidation type="decimal" allowBlank="1" showInputMessage="1" showErrorMessage="1" error="Valor Superior à da medição." sqref="BA1 BA12:BA88">
      <formula1>0</formula1>
      <formula2>U1</formula2>
    </dataValidation>
  </dataValidations>
  <printOptions horizontalCentered="1"/>
  <pageMargins left="0" right="0" top="0" bottom="0" header="0" footer="0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C115"/>
  <sheetViews>
    <sheetView view="pageLayout" topLeftCell="K10" zoomScaleNormal="80" workbookViewId="0">
      <selection activeCell="K14" sqref="K14:X96"/>
    </sheetView>
  </sheetViews>
  <sheetFormatPr defaultColWidth="11.6640625" defaultRowHeight="13.2"/>
  <cols>
    <col min="1" max="8" width="6.6640625" style="59" hidden="1" customWidth="1"/>
    <col min="9" max="10" width="6.6640625" style="60" hidden="1" customWidth="1"/>
    <col min="11" max="11" width="7" style="46" customWidth="1"/>
    <col min="12" max="12" width="6.44140625" style="46" customWidth="1"/>
    <col min="13" max="13" width="55.6640625" style="46" customWidth="1"/>
    <col min="14" max="14" width="6" style="46" customWidth="1"/>
    <col min="15" max="15" width="8" style="46" customWidth="1"/>
    <col min="16" max="16" width="13.6640625" style="46" customWidth="1"/>
    <col min="17" max="17" width="15.6640625" style="46" customWidth="1"/>
    <col min="18" max="18" width="15.109375" style="46" customWidth="1"/>
    <col min="19" max="19" width="11.44140625" style="46" customWidth="1"/>
    <col min="20" max="20" width="10.21875" style="180" customWidth="1"/>
    <col min="21" max="21" width="16.44140625" style="180" customWidth="1"/>
    <col min="22" max="22" width="14.77734375" style="180" customWidth="1"/>
    <col min="23" max="23" width="13.21875" style="46" customWidth="1"/>
    <col min="24" max="24" width="15.5546875" style="46" customWidth="1"/>
    <col min="25" max="25" width="3.88671875" style="46" customWidth="1"/>
    <col min="26" max="42" width="11.6640625" style="46"/>
    <col min="43" max="50" width="11.6640625" style="60"/>
    <col min="51" max="53" width="11.44140625" style="60" hidden="1" customWidth="1"/>
    <col min="54" max="56" width="18.44140625" style="60" hidden="1" customWidth="1"/>
    <col min="57" max="57" width="2.88671875" style="59" hidden="1" customWidth="1"/>
    <col min="58" max="59" width="5.6640625" style="60" hidden="1" customWidth="1"/>
    <col min="60" max="60" width="90.88671875" style="60" hidden="1" customWidth="1"/>
    <col min="61" max="79" width="3.88671875" style="60" hidden="1" customWidth="1"/>
    <col min="80" max="80" width="11.6640625" style="60"/>
    <col min="81" max="81" width="11.6640625" style="60" hidden="1" customWidth="1"/>
    <col min="82" max="82" width="22" style="59" customWidth="1"/>
    <col min="83" max="16384" width="11.6640625" style="59"/>
  </cols>
  <sheetData>
    <row r="1" spans="9:81" ht="15.6" customHeight="1">
      <c r="I1" s="16"/>
      <c r="J1" s="16"/>
      <c r="K1" s="294"/>
      <c r="L1" s="295"/>
      <c r="M1" s="815" t="s">
        <v>269</v>
      </c>
      <c r="N1" s="815"/>
      <c r="O1" s="815"/>
      <c r="P1" s="815"/>
      <c r="Q1" s="815"/>
      <c r="R1" s="815"/>
      <c r="S1" s="815"/>
      <c r="T1" s="815"/>
      <c r="U1" s="815"/>
      <c r="V1" s="815"/>
      <c r="W1" s="815"/>
      <c r="X1" s="816" t="s">
        <v>286</v>
      </c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</row>
    <row r="2" spans="9:81" ht="15.6" customHeight="1">
      <c r="I2" s="16"/>
      <c r="J2" s="16"/>
      <c r="K2" s="294"/>
      <c r="L2" s="23"/>
      <c r="M2" s="818" t="s">
        <v>242</v>
      </c>
      <c r="N2" s="818"/>
      <c r="O2" s="818"/>
      <c r="P2" s="818"/>
      <c r="Q2" s="818"/>
      <c r="R2" s="818"/>
      <c r="S2" s="818"/>
      <c r="T2" s="818"/>
      <c r="U2" s="818"/>
      <c r="V2" s="818"/>
      <c r="W2" s="819"/>
      <c r="X2" s="817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</row>
    <row r="5" spans="9:81" ht="15.6" customHeight="1">
      <c r="I5" s="16"/>
      <c r="J5" s="16"/>
      <c r="K5" s="196" t="s">
        <v>210</v>
      </c>
      <c r="L5" s="197"/>
      <c r="M5" s="198" t="s">
        <v>211</v>
      </c>
      <c r="N5" s="597" t="s">
        <v>212</v>
      </c>
      <c r="O5" s="599"/>
      <c r="P5" s="597" t="s">
        <v>275</v>
      </c>
      <c r="Q5" s="830"/>
      <c r="R5" s="599"/>
      <c r="S5" s="597" t="s">
        <v>214</v>
      </c>
      <c r="T5" s="830"/>
      <c r="U5" s="599"/>
      <c r="V5" s="199" t="s">
        <v>215</v>
      </c>
      <c r="W5" s="200"/>
      <c r="X5" s="201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  <c r="AK5" s="296"/>
      <c r="AL5" s="296"/>
      <c r="AM5" s="296"/>
      <c r="AN5" s="296"/>
      <c r="AO5" s="296"/>
      <c r="AP5" s="29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</row>
    <row r="6" spans="9:81" ht="15.6" customHeight="1">
      <c r="I6" s="16"/>
      <c r="J6" s="16"/>
      <c r="K6" s="202" t="s">
        <v>276</v>
      </c>
      <c r="L6" s="203"/>
      <c r="M6" s="204" t="s">
        <v>277</v>
      </c>
      <c r="N6" s="831" t="s">
        <v>278</v>
      </c>
      <c r="O6" s="832"/>
      <c r="P6" s="833" t="s">
        <v>219</v>
      </c>
      <c r="Q6" s="834"/>
      <c r="R6" s="835"/>
      <c r="S6" s="833" t="s">
        <v>220</v>
      </c>
      <c r="T6" s="834"/>
      <c r="U6" s="835"/>
      <c r="V6" s="205" t="s">
        <v>279</v>
      </c>
      <c r="W6" s="206"/>
      <c r="X6" s="201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  <c r="AK6" s="296"/>
      <c r="AL6" s="296"/>
      <c r="AM6" s="296"/>
      <c r="AN6" s="296"/>
      <c r="AO6" s="296"/>
      <c r="AP6" s="29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</row>
    <row r="7" spans="9:81" ht="15.6" customHeight="1">
      <c r="I7" s="16"/>
      <c r="J7" s="16"/>
      <c r="K7" s="297"/>
      <c r="L7" s="297"/>
      <c r="M7" s="199"/>
      <c r="N7" s="298"/>
      <c r="O7" s="298"/>
      <c r="P7" s="298"/>
      <c r="Q7" s="298"/>
      <c r="R7" s="298"/>
      <c r="S7" s="199"/>
      <c r="T7" s="199"/>
      <c r="U7" s="199"/>
      <c r="V7" s="199"/>
      <c r="W7" s="199"/>
      <c r="X7" s="199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  <c r="AK7" s="296"/>
      <c r="AL7" s="296"/>
      <c r="AM7" s="296"/>
      <c r="AN7" s="296"/>
      <c r="AO7" s="296"/>
      <c r="AP7" s="29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</row>
    <row r="8" spans="9:81" ht="15.6" customHeight="1">
      <c r="I8" s="16"/>
      <c r="J8" s="16"/>
      <c r="K8" s="605" t="s">
        <v>280</v>
      </c>
      <c r="L8" s="836"/>
      <c r="M8" s="836"/>
      <c r="N8" s="605" t="s">
        <v>281</v>
      </c>
      <c r="O8" s="836"/>
      <c r="P8" s="607"/>
      <c r="Q8" s="299"/>
      <c r="R8" s="207" t="s">
        <v>224</v>
      </c>
      <c r="S8" s="208"/>
      <c r="T8" s="209"/>
      <c r="U8" s="300" t="s">
        <v>225</v>
      </c>
      <c r="V8" s="300"/>
      <c r="W8" s="301"/>
      <c r="X8" s="299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  <c r="AK8" s="296"/>
      <c r="AL8" s="296"/>
      <c r="AM8" s="296"/>
      <c r="AN8" s="296"/>
      <c r="AO8" s="296"/>
      <c r="AP8" s="29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</row>
    <row r="9" spans="9:81" ht="15.6" customHeight="1">
      <c r="I9" s="16"/>
      <c r="J9" s="16"/>
      <c r="K9" s="837" t="s">
        <v>282</v>
      </c>
      <c r="L9" s="838"/>
      <c r="M9" s="838"/>
      <c r="N9" s="811" t="s">
        <v>283</v>
      </c>
      <c r="O9" s="839"/>
      <c r="P9" s="812"/>
      <c r="Q9" s="206"/>
      <c r="R9" s="210" t="s">
        <v>228</v>
      </c>
      <c r="S9" s="211"/>
      <c r="T9" s="211"/>
      <c r="U9" s="202" t="s">
        <v>229</v>
      </c>
      <c r="V9" s="302"/>
      <c r="W9" s="203"/>
      <c r="X9" s="20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  <c r="AK9" s="296"/>
      <c r="AL9" s="296"/>
      <c r="AM9" s="296"/>
      <c r="AN9" s="296"/>
      <c r="AO9" s="296"/>
      <c r="AP9" s="29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</row>
    <row r="10" spans="9:81" ht="15.6" customHeight="1">
      <c r="I10" s="16"/>
      <c r="J10" s="16"/>
      <c r="K10" s="303"/>
      <c r="L10" s="212"/>
      <c r="M10" s="212"/>
      <c r="N10" s="212"/>
      <c r="O10" s="212"/>
      <c r="P10" s="212"/>
      <c r="Q10" s="212"/>
      <c r="R10" s="212"/>
      <c r="S10" s="212"/>
      <c r="T10" s="212"/>
      <c r="U10" s="213"/>
      <c r="V10" s="304"/>
      <c r="W10" s="199"/>
      <c r="X10" s="199"/>
      <c r="Y10" s="296"/>
      <c r="Z10" s="296"/>
      <c r="AA10" s="296"/>
      <c r="AB10" s="296"/>
      <c r="AC10" s="296"/>
      <c r="AD10" s="296"/>
      <c r="AE10" s="296"/>
      <c r="AF10" s="296"/>
      <c r="AG10" s="296"/>
      <c r="AH10" s="296"/>
      <c r="AI10" s="296"/>
      <c r="AJ10" s="296"/>
      <c r="AK10" s="296"/>
      <c r="AL10" s="296"/>
      <c r="AM10" s="296"/>
      <c r="AN10" s="296"/>
      <c r="AO10" s="296"/>
      <c r="AP10" s="29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</row>
    <row r="11" spans="9:81" ht="15.6" customHeight="1">
      <c r="I11" s="16"/>
      <c r="J11" s="16"/>
      <c r="K11" s="305" t="s">
        <v>231</v>
      </c>
      <c r="L11" s="306"/>
      <c r="M11" s="214" t="s">
        <v>232</v>
      </c>
      <c r="N11" s="807" t="s">
        <v>233</v>
      </c>
      <c r="O11" s="808"/>
      <c r="P11" s="215" t="s">
        <v>234</v>
      </c>
      <c r="Q11" s="215"/>
      <c r="R11" s="215"/>
      <c r="S11" s="215"/>
      <c r="T11" s="215"/>
      <c r="U11" s="215"/>
      <c r="V11" s="214"/>
      <c r="W11" s="809" t="s">
        <v>284</v>
      </c>
      <c r="X11" s="810"/>
      <c r="Y11" s="296"/>
      <c r="Z11" s="296"/>
      <c r="AA11" s="296"/>
      <c r="AB11" s="296"/>
      <c r="AC11" s="296"/>
      <c r="AD11" s="296"/>
      <c r="AE11" s="296"/>
      <c r="AF11" s="296"/>
      <c r="AG11" s="296"/>
      <c r="AH11" s="296"/>
      <c r="AI11" s="296"/>
      <c r="AJ11" s="296"/>
      <c r="AK11" s="296"/>
      <c r="AL11" s="296"/>
      <c r="AM11" s="296"/>
      <c r="AN11" s="296"/>
      <c r="AO11" s="296"/>
      <c r="AP11" s="29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</row>
    <row r="12" spans="9:81" ht="15.6" customHeight="1">
      <c r="I12" s="16"/>
      <c r="J12" s="16"/>
      <c r="K12" s="216" t="s">
        <v>236</v>
      </c>
      <c r="L12" s="217"/>
      <c r="M12" s="218" t="s">
        <v>237</v>
      </c>
      <c r="N12" s="811" t="s">
        <v>238</v>
      </c>
      <c r="O12" s="812"/>
      <c r="P12" s="219" t="s">
        <v>285</v>
      </c>
      <c r="Q12" s="220"/>
      <c r="R12" s="220"/>
      <c r="S12" s="220"/>
      <c r="T12" s="220"/>
      <c r="U12" s="220"/>
      <c r="V12" s="221"/>
      <c r="W12" s="813">
        <v>44047</v>
      </c>
      <c r="X12" s="814"/>
      <c r="Y12" s="296"/>
      <c r="Z12" s="296"/>
      <c r="AA12" s="296"/>
      <c r="AB12" s="296"/>
      <c r="AC12" s="296"/>
      <c r="AD12" s="296"/>
      <c r="AE12" s="296"/>
      <c r="AF12" s="296"/>
      <c r="AG12" s="296"/>
      <c r="AH12" s="296"/>
      <c r="AI12" s="296"/>
      <c r="AJ12" s="296"/>
      <c r="AK12" s="296"/>
      <c r="AL12" s="296"/>
      <c r="AM12" s="296"/>
      <c r="AN12" s="296"/>
      <c r="AO12" s="296"/>
      <c r="AP12" s="29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</row>
    <row r="14" spans="9:81" s="222" customFormat="1" ht="13.8">
      <c r="I14" s="246"/>
      <c r="J14" s="246"/>
      <c r="K14" s="238"/>
      <c r="L14" s="307" t="s">
        <v>274</v>
      </c>
      <c r="M14" s="223"/>
      <c r="N14" s="255"/>
      <c r="O14" s="308"/>
      <c r="P14" s="308"/>
      <c r="Q14" s="308"/>
      <c r="R14" s="223"/>
      <c r="S14" s="251"/>
      <c r="T14" s="309" t="s">
        <v>7</v>
      </c>
      <c r="U14" s="821" t="s">
        <v>273</v>
      </c>
      <c r="V14" s="822"/>
      <c r="W14" s="310" t="s">
        <v>8</v>
      </c>
      <c r="X14" s="311">
        <v>3</v>
      </c>
      <c r="Y14" s="238"/>
      <c r="Z14" s="312"/>
      <c r="AA14" s="312"/>
      <c r="AB14" s="312"/>
      <c r="AC14" s="312"/>
      <c r="AD14" s="312"/>
      <c r="AE14" s="312"/>
      <c r="AF14" s="312"/>
      <c r="AG14" s="312"/>
      <c r="AH14" s="312"/>
      <c r="AI14" s="312"/>
      <c r="AJ14" s="312"/>
      <c r="AK14" s="312"/>
      <c r="AL14" s="312"/>
      <c r="AM14" s="312"/>
      <c r="AN14" s="312"/>
      <c r="AO14" s="312"/>
      <c r="AP14" s="312"/>
      <c r="AQ14" s="248"/>
      <c r="AR14" s="248"/>
      <c r="AS14" s="248"/>
      <c r="AT14" s="248"/>
      <c r="AU14" s="248"/>
      <c r="AV14" s="248"/>
      <c r="AW14" s="248"/>
      <c r="AX14" s="246"/>
      <c r="AY14" s="232"/>
      <c r="AZ14" s="246"/>
      <c r="BA14" s="246"/>
      <c r="BB14" s="232"/>
      <c r="BC14" s="247" t="s">
        <v>8</v>
      </c>
      <c r="BD14" s="249" t="e">
        <f>mediçao</f>
        <v>#REF!</v>
      </c>
      <c r="BF14" s="246"/>
      <c r="BG14" s="246"/>
      <c r="BH14" s="246"/>
      <c r="BI14" s="246"/>
      <c r="BJ14" s="246"/>
      <c r="BK14" s="246"/>
      <c r="BL14" s="246"/>
      <c r="BM14" s="246"/>
      <c r="BN14" s="246"/>
      <c r="BO14" s="246"/>
      <c r="BP14" s="246"/>
      <c r="BQ14" s="246"/>
      <c r="BR14" s="246"/>
      <c r="BS14" s="246"/>
      <c r="BT14" s="246"/>
      <c r="BU14" s="246"/>
      <c r="BV14" s="246"/>
      <c r="BW14" s="246"/>
      <c r="BX14" s="246"/>
      <c r="BY14" s="246"/>
      <c r="BZ14" s="246"/>
      <c r="CA14" s="246"/>
      <c r="CB14" s="246"/>
      <c r="CC14" s="246" t="s">
        <v>9</v>
      </c>
    </row>
    <row r="15" spans="9:81" s="222" customFormat="1" ht="13.8">
      <c r="I15" s="250" t="str">
        <f>RegimeExecucao</f>
        <v>Unitário</v>
      </c>
      <c r="J15" s="250"/>
      <c r="K15" s="238"/>
      <c r="L15" s="313" t="s">
        <v>268</v>
      </c>
      <c r="M15" s="308"/>
      <c r="N15" s="308"/>
      <c r="O15" s="823"/>
      <c r="P15" s="823"/>
      <c r="Q15" s="823"/>
      <c r="R15" s="823"/>
      <c r="S15" s="251"/>
      <c r="T15" s="314"/>
      <c r="U15" s="251"/>
      <c r="V15" s="251"/>
      <c r="W15" s="252"/>
      <c r="X15" s="310"/>
      <c r="Y15" s="238"/>
      <c r="Z15" s="315"/>
      <c r="AA15" s="316"/>
      <c r="AB15" s="316"/>
      <c r="AC15" s="316"/>
      <c r="AD15" s="316"/>
      <c r="AE15" s="805" t="s">
        <v>10</v>
      </c>
      <c r="AF15" s="805"/>
      <c r="AG15" s="316"/>
      <c r="AH15" s="316"/>
      <c r="AI15" s="316"/>
      <c r="AJ15" s="316"/>
      <c r="AK15" s="317"/>
      <c r="AL15" s="315"/>
      <c r="AM15" s="316"/>
      <c r="AN15" s="316"/>
      <c r="AO15" s="316"/>
      <c r="AP15" s="316"/>
      <c r="AQ15" s="806" t="s">
        <v>10</v>
      </c>
      <c r="AR15" s="806"/>
      <c r="AS15" s="253"/>
      <c r="AT15" s="253"/>
      <c r="AU15" s="253"/>
      <c r="AV15" s="253"/>
      <c r="AW15" s="254"/>
      <c r="AX15" s="246"/>
      <c r="AY15" s="255"/>
      <c r="AZ15" s="255"/>
      <c r="BA15" s="255"/>
      <c r="BB15" s="255"/>
      <c r="BC15" s="255"/>
      <c r="BD15" s="255"/>
      <c r="BF15" s="798" t="s">
        <v>11</v>
      </c>
      <c r="BG15" s="799"/>
      <c r="BH15" s="799"/>
      <c r="BI15" s="246"/>
      <c r="BJ15" s="246"/>
      <c r="BK15" s="246"/>
      <c r="BL15" s="246"/>
      <c r="BM15" s="246"/>
      <c r="BN15" s="246"/>
      <c r="BO15" s="246"/>
      <c r="BP15" s="246"/>
      <c r="BQ15" s="246"/>
      <c r="BR15" s="246"/>
      <c r="BS15" s="246"/>
      <c r="BT15" s="246"/>
      <c r="BU15" s="246"/>
      <c r="BV15" s="246"/>
      <c r="BW15" s="246"/>
      <c r="BX15" s="246"/>
      <c r="BY15" s="246"/>
      <c r="BZ15" s="246"/>
      <c r="CA15" s="256"/>
      <c r="CB15" s="246"/>
      <c r="CC15" s="246" t="s">
        <v>12</v>
      </c>
    </row>
    <row r="16" spans="9:81" s="222" customFormat="1" ht="17.399999999999999" customHeight="1">
      <c r="I16" s="257"/>
      <c r="J16" s="257"/>
      <c r="K16" s="257"/>
      <c r="L16" s="800" t="s">
        <v>13</v>
      </c>
      <c r="M16" s="801"/>
      <c r="N16" s="239"/>
      <c r="O16" s="239"/>
      <c r="P16" s="239"/>
      <c r="Q16" s="239"/>
      <c r="R16" s="240"/>
      <c r="S16" s="800" t="str">
        <f>"Evolução Física "&amp;CHOOSE(MATCH(RegimeExecucao,{"Unitário","Global"},0),"(Qtde.)","(%)")</f>
        <v>Evolução Física (Qtde.)</v>
      </c>
      <c r="T16" s="801"/>
      <c r="U16" s="802"/>
      <c r="V16" s="800" t="s">
        <v>14</v>
      </c>
      <c r="W16" s="801"/>
      <c r="X16" s="802"/>
      <c r="Y16" s="258"/>
      <c r="Z16" s="259">
        <v>44077</v>
      </c>
      <c r="AA16" s="259">
        <v>44131</v>
      </c>
      <c r="AB16" s="259"/>
      <c r="AC16" s="259"/>
      <c r="AD16" s="259"/>
      <c r="AE16" s="259"/>
      <c r="AF16" s="259"/>
      <c r="AG16" s="259"/>
      <c r="AH16" s="259"/>
      <c r="AI16" s="259"/>
      <c r="AJ16" s="259"/>
      <c r="AK16" s="259"/>
      <c r="AL16" s="259"/>
      <c r="AM16" s="259"/>
      <c r="AN16" s="259"/>
      <c r="AO16" s="259"/>
      <c r="AP16" s="259"/>
      <c r="AQ16" s="259"/>
      <c r="AR16" s="259"/>
      <c r="AS16" s="259"/>
      <c r="AT16" s="259"/>
      <c r="AU16" s="259"/>
      <c r="AV16" s="259"/>
      <c r="AW16" s="259"/>
      <c r="AX16" s="257"/>
      <c r="AY16" s="800" t="str">
        <f>"Aferição Física "&amp;CHOOSE(MATCH(RegimeExecucao,{"Unitário","Global"},0),"(Qtde.)","(%)")</f>
        <v>Aferição Física (Qtde.)</v>
      </c>
      <c r="AZ16" s="801"/>
      <c r="BA16" s="802"/>
      <c r="BB16" s="800" t="s">
        <v>15</v>
      </c>
      <c r="BC16" s="801"/>
      <c r="BD16" s="802"/>
      <c r="BF16" s="803" t="s">
        <v>16</v>
      </c>
      <c r="BG16" s="804"/>
      <c r="BH16" s="804"/>
      <c r="BI16" s="239"/>
      <c r="BJ16" s="239"/>
      <c r="BK16" s="239"/>
      <c r="BL16" s="239"/>
      <c r="BM16" s="239"/>
      <c r="BN16" s="239"/>
      <c r="BO16" s="239"/>
      <c r="BP16" s="239"/>
      <c r="BQ16" s="239"/>
      <c r="BR16" s="239"/>
      <c r="BS16" s="239"/>
      <c r="BT16" s="239"/>
      <c r="BU16" s="239"/>
      <c r="BV16" s="239"/>
      <c r="BW16" s="239"/>
      <c r="BX16" s="239"/>
      <c r="BY16" s="239"/>
      <c r="BZ16" s="239"/>
      <c r="CA16" s="240"/>
      <c r="CB16" s="257"/>
      <c r="CC16" s="257" t="s">
        <v>17</v>
      </c>
    </row>
    <row r="17" spans="1:81" s="222" customFormat="1" ht="32.4" customHeight="1">
      <c r="A17" s="260" t="s">
        <v>18</v>
      </c>
      <c r="B17" s="260" t="s">
        <v>19</v>
      </c>
      <c r="C17" s="260" t="s">
        <v>20</v>
      </c>
      <c r="D17" s="260" t="s">
        <v>21</v>
      </c>
      <c r="E17" s="260" t="s">
        <v>22</v>
      </c>
      <c r="F17" s="260" t="s">
        <v>23</v>
      </c>
      <c r="G17" s="260" t="s">
        <v>24</v>
      </c>
      <c r="H17" s="260" t="s">
        <v>25</v>
      </c>
      <c r="I17" s="260" t="s">
        <v>26</v>
      </c>
      <c r="J17" s="260"/>
      <c r="K17" s="260" t="s">
        <v>18</v>
      </c>
      <c r="L17" s="260" t="s">
        <v>27</v>
      </c>
      <c r="M17" s="260" t="s">
        <v>28</v>
      </c>
      <c r="N17" s="260" t="s">
        <v>29</v>
      </c>
      <c r="O17" s="260" t="s">
        <v>30</v>
      </c>
      <c r="P17" s="260" t="s">
        <v>31</v>
      </c>
      <c r="Q17" s="260" t="s">
        <v>32</v>
      </c>
      <c r="R17" s="260" t="s">
        <v>32</v>
      </c>
      <c r="S17" s="260" t="s">
        <v>33</v>
      </c>
      <c r="T17" s="260" t="s">
        <v>34</v>
      </c>
      <c r="U17" s="260" t="s">
        <v>35</v>
      </c>
      <c r="V17" s="261" t="s">
        <v>33</v>
      </c>
      <c r="W17" s="260" t="s">
        <v>34</v>
      </c>
      <c r="X17" s="260" t="s">
        <v>35</v>
      </c>
      <c r="Y17" s="233"/>
      <c r="Z17" s="262">
        <v>1</v>
      </c>
      <c r="AA17" s="262">
        <f ca="1">OFFSET(AA17,0,-1)+1</f>
        <v>2</v>
      </c>
      <c r="AB17" s="263">
        <f t="shared" ref="AB17:AW17" ca="1" si="0">OFFSET(AB17,0,-1)+1</f>
        <v>3</v>
      </c>
      <c r="AC17" s="263">
        <f t="shared" ca="1" si="0"/>
        <v>4</v>
      </c>
      <c r="AD17" s="263">
        <f t="shared" ca="1" si="0"/>
        <v>5</v>
      </c>
      <c r="AE17" s="263">
        <f t="shared" ca="1" si="0"/>
        <v>6</v>
      </c>
      <c r="AF17" s="263">
        <f t="shared" ca="1" si="0"/>
        <v>7</v>
      </c>
      <c r="AG17" s="263">
        <f t="shared" ca="1" si="0"/>
        <v>8</v>
      </c>
      <c r="AH17" s="263">
        <f t="shared" ca="1" si="0"/>
        <v>9</v>
      </c>
      <c r="AI17" s="263">
        <f t="shared" ca="1" si="0"/>
        <v>10</v>
      </c>
      <c r="AJ17" s="263">
        <f t="shared" ca="1" si="0"/>
        <v>11</v>
      </c>
      <c r="AK17" s="263">
        <f t="shared" ca="1" si="0"/>
        <v>12</v>
      </c>
      <c r="AL17" s="263">
        <f t="shared" ca="1" si="0"/>
        <v>13</v>
      </c>
      <c r="AM17" s="263">
        <f t="shared" ca="1" si="0"/>
        <v>14</v>
      </c>
      <c r="AN17" s="263">
        <f t="shared" ca="1" si="0"/>
        <v>15</v>
      </c>
      <c r="AO17" s="263">
        <f t="shared" ca="1" si="0"/>
        <v>16</v>
      </c>
      <c r="AP17" s="263">
        <f t="shared" ca="1" si="0"/>
        <v>17</v>
      </c>
      <c r="AQ17" s="263">
        <f t="shared" ca="1" si="0"/>
        <v>18</v>
      </c>
      <c r="AR17" s="263">
        <f t="shared" ca="1" si="0"/>
        <v>19</v>
      </c>
      <c r="AS17" s="263">
        <f t="shared" ca="1" si="0"/>
        <v>20</v>
      </c>
      <c r="AT17" s="263">
        <f t="shared" ca="1" si="0"/>
        <v>21</v>
      </c>
      <c r="AU17" s="263">
        <f t="shared" ca="1" si="0"/>
        <v>22</v>
      </c>
      <c r="AV17" s="263">
        <f t="shared" ca="1" si="0"/>
        <v>23</v>
      </c>
      <c r="AW17" s="263">
        <f t="shared" ca="1" si="0"/>
        <v>24</v>
      </c>
      <c r="AX17" s="264"/>
      <c r="AY17" s="260" t="s">
        <v>33</v>
      </c>
      <c r="AZ17" s="260" t="s">
        <v>34</v>
      </c>
      <c r="BA17" s="260" t="s">
        <v>35</v>
      </c>
      <c r="BB17" s="261" t="s">
        <v>33</v>
      </c>
      <c r="BC17" s="260" t="s">
        <v>34</v>
      </c>
      <c r="BD17" s="260" t="s">
        <v>35</v>
      </c>
      <c r="BF17" s="789" t="s">
        <v>36</v>
      </c>
      <c r="BG17" s="790"/>
      <c r="BH17" s="265" t="str">
        <f>M17</f>
        <v>Discriminação</v>
      </c>
      <c r="BI17" s="789" t="s">
        <v>29</v>
      </c>
      <c r="BJ17" s="790"/>
      <c r="BK17" s="789" t="str">
        <f>CHOOSE(MATCH(RegimeExecucao,{"Unitário","Global"},0),"Quant. Glosada (unid)","Percentual Glosado (%)")</f>
        <v>Quant. Glosada (unid)</v>
      </c>
      <c r="BL17" s="791"/>
      <c r="BM17" s="790"/>
      <c r="BN17" s="789" t="str">
        <f>CHOOSE(MATCH(RegimeExecucao,{"Unitário","Global"},0),"Preço Unitário (R$)","Valor Total do Item (R$)")</f>
        <v>Preço Unitário (R$)</v>
      </c>
      <c r="BO17" s="791"/>
      <c r="BP17" s="791"/>
      <c r="BQ17" s="790"/>
      <c r="BR17" s="792" t="s">
        <v>37</v>
      </c>
      <c r="BS17" s="793"/>
      <c r="BT17" s="793"/>
      <c r="BU17" s="794"/>
      <c r="BV17" s="795" t="s">
        <v>38</v>
      </c>
      <c r="BW17" s="796"/>
      <c r="BX17" s="796"/>
      <c r="BY17" s="796"/>
      <c r="BZ17" s="796"/>
      <c r="CA17" s="797"/>
      <c r="CB17" s="264"/>
      <c r="CC17" s="264"/>
    </row>
    <row r="18" spans="1:81" s="222" customFormat="1" ht="13.8">
      <c r="B18" s="222">
        <f ca="1">COUNTA(OFFSET(B18,1,0):B$119)</f>
        <v>78</v>
      </c>
      <c r="I18" s="234"/>
      <c r="J18" s="234"/>
      <c r="K18" s="318"/>
      <c r="L18" s="824"/>
      <c r="M18" s="825"/>
      <c r="N18" s="826"/>
      <c r="O18" s="824" t="s">
        <v>39</v>
      </c>
      <c r="P18" s="826"/>
      <c r="Q18" s="319">
        <f>$R18</f>
        <v>185801.47100000002</v>
      </c>
      <c r="R18" s="319">
        <f>SUM(R19+R22+R25+R38+R40+R46+R50+R58+R69+R74+R80+R90+R92)</f>
        <v>185801.47100000002</v>
      </c>
      <c r="S18" s="319">
        <f ca="1">SUM(S19+S22+S25+S38+S40+S46+S50+S58+S69+S74+S80+S90+S92)</f>
        <v>0</v>
      </c>
      <c r="T18" s="319"/>
      <c r="U18" s="242">
        <f>IF($X$18=0,0,IF(RegimeExecucao="Global",X18/$R18*100,0))</f>
        <v>0</v>
      </c>
      <c r="V18" s="319">
        <f>SUM(V19+V22+V25+V38+V40+V46+V50+V58+V69+V74+V80+V90+V92)</f>
        <v>185801.47100000002</v>
      </c>
      <c r="W18" s="319">
        <f>SUM(W19+W22+W25+W38+W40+W46+W50+W58+W69+W74+W80+W90+W92)</f>
        <v>12596.867835249042</v>
      </c>
      <c r="X18" s="242">
        <f>V18+W18</f>
        <v>198398.33883524907</v>
      </c>
      <c r="Y18" s="320"/>
      <c r="Z18" s="321"/>
      <c r="AA18" s="322"/>
      <c r="AB18" s="322"/>
      <c r="AC18" s="785" t="str">
        <f>"Preencher abaixo com a "&amp;CHOOSE(MATCH(RegimeExecucao,{"Unitário","Global"},0),"QUANTIDADE","PERCENTAGEM")&amp;" executada no PERÍODO"</f>
        <v>Preencher abaixo com a QUANTIDADE executada no PERÍODO</v>
      </c>
      <c r="AD18" s="785"/>
      <c r="AE18" s="785"/>
      <c r="AF18" s="785"/>
      <c r="AG18" s="785"/>
      <c r="AH18" s="785"/>
      <c r="AI18" s="322"/>
      <c r="AJ18" s="322"/>
      <c r="AK18" s="323"/>
      <c r="AL18" s="321"/>
      <c r="AM18" s="322"/>
      <c r="AN18" s="322"/>
      <c r="AO18" s="786" t="str">
        <f>"Preencher abaixo com a "&amp;CHOOSE(MATCH(RegimeExecucao,{"Unitário","Global"},0),"QUANTIDADE","PERCENTAGEM")&amp;" executada no PERÍODO"</f>
        <v>Preencher abaixo com a QUANTIDADE executada no PERÍODO</v>
      </c>
      <c r="AP18" s="786"/>
      <c r="AQ18" s="786"/>
      <c r="AR18" s="786"/>
      <c r="AS18" s="786"/>
      <c r="AT18" s="786"/>
      <c r="AU18" s="266"/>
      <c r="AV18" s="266"/>
      <c r="AW18" s="267"/>
      <c r="AX18" s="234"/>
      <c r="AY18" s="241" t="e">
        <f ca="1">IF(BB18=0,0,IF(RegimeExecucao="Global",BB18/$R18*100,0))</f>
        <v>#REF!</v>
      </c>
      <c r="AZ18" s="243" t="e">
        <f ca="1">BA18-AY18</f>
        <v>#REF!</v>
      </c>
      <c r="BA18" s="242" t="e">
        <f ca="1">IF(BD18=0,0,IF(RegimeExecucao="Global",BD18/$R18*100,0))</f>
        <v>#REF!</v>
      </c>
      <c r="BB18" s="244" t="e">
        <f ca="1">SUMIF(OFFSET(K18,1,0):K96,"serviço",OFFSET(BB18,1,0):BB$96)</f>
        <v>#REF!</v>
      </c>
      <c r="BC18" s="242" t="e">
        <f ca="1">BD18-BB18</f>
        <v>#REF!</v>
      </c>
      <c r="BD18" s="242" t="e">
        <f ca="1">SUMIF(OFFSET($K18,1,0):K96,"serviço",OFFSET(BD18,1,0):BD$96)</f>
        <v>#REF!</v>
      </c>
      <c r="BF18" s="787"/>
      <c r="BG18" s="787"/>
      <c r="BH18" s="268" t="s">
        <v>39</v>
      </c>
      <c r="BI18" s="788"/>
      <c r="BJ18" s="788"/>
      <c r="BK18" s="782" t="e">
        <f ca="1">IF(BR18=0,0,IF(RegimeExecucao="Global",BR18/$R18*100,0))</f>
        <v>#REF!</v>
      </c>
      <c r="BL18" s="782">
        <f>IF(BO18=0,0,IF(RegimeExecucao="Global",BO18/$R18*100,0))</f>
        <v>0</v>
      </c>
      <c r="BM18" s="782">
        <f>IF(BP18=0,0,IF(RegimeExecucao="Global",BP18/$R18*100,0))</f>
        <v>0</v>
      </c>
      <c r="BN18" s="783" t="e">
        <f ca="1">IF(AND($A18="S",BR18&gt;0),CHOOSE(MATCH(RegimeExecucao,{"Unitário","Global"},0),ROUND(P18,arredunit),ROUND(R18,arredtot)),"")</f>
        <v>#REF!</v>
      </c>
      <c r="BO18" s="783"/>
      <c r="BP18" s="783"/>
      <c r="BQ18" s="783"/>
      <c r="BR18" s="783" t="e">
        <f t="shared" ref="BR18:BR81" ca="1" si="1">$X18-$BD18</f>
        <v>#REF!</v>
      </c>
      <c r="BS18" s="783"/>
      <c r="BT18" s="783"/>
      <c r="BU18" s="783"/>
      <c r="BV18" s="784"/>
      <c r="BW18" s="784"/>
      <c r="BX18" s="784"/>
      <c r="BY18" s="784"/>
      <c r="BZ18" s="784"/>
      <c r="CA18" s="784"/>
      <c r="CB18" s="234"/>
      <c r="CC18" s="234"/>
    </row>
    <row r="19" spans="1:81" s="222" customFormat="1" ht="16.2" customHeight="1">
      <c r="A19" s="222">
        <f>CHOOSE(1+LOG(1+2*(K19="Meta")+4*(K19="Nível 2")+8*(K19="Nível 3")+16*(K19="Nível 4")+32*(K19="Serviço"),2),0,1,2,3,4,"S")</f>
        <v>1</v>
      </c>
      <c r="B19" s="222">
        <f ca="1">IF(OR(A19="S",A19=0),0,IF(ISERROR(I19),H19,SMALL(H19:I19,1)))</f>
        <v>3</v>
      </c>
      <c r="C19" s="222">
        <f t="shared" ref="C19:C82" ca="1" si="2">IF($A19=1,OFFSET(C19,-1,0)+1,OFFSET(C19,-1,0))</f>
        <v>1</v>
      </c>
      <c r="D19" s="222">
        <f t="shared" ref="D19:D82" ca="1" si="3">IF($A19=1,0,IF($A19=2,OFFSET(D19,-1,0)+1,OFFSET(D19,-1,0)))</f>
        <v>0</v>
      </c>
      <c r="E19" s="222">
        <f t="shared" ref="E19:E82" ca="1" si="4">IF(AND($A19&lt;=2,$A19&lt;&gt;0),0,IF($A19=3,OFFSET(E19,-1,0)+1,OFFSET(E19,-1,0)))</f>
        <v>0</v>
      </c>
      <c r="F19" s="222">
        <f t="shared" ref="F19:F82" ca="1" si="5">IF(AND($A19&lt;=3,$A19&lt;&gt;0),0,IF($A19=4,OFFSET(F19,-1,0)+1,OFFSET(F19,-1,0)))</f>
        <v>0</v>
      </c>
      <c r="G19" s="222">
        <f t="shared" ref="G19:G82" ca="1" si="6">IF(AND($A19&lt;=4,$A19&lt;&gt;0),0,IF($A19="S",OFFSET(G19,-1,0)+1,OFFSET(G19,-1,0)))</f>
        <v>0</v>
      </c>
      <c r="H19" s="222">
        <f t="shared" ref="H19:H82" ca="1" si="7">IF(OR($A19="S",$A19=0),0,MATCH(0,OFFSET($B19,1,$A19,ROW($A$96)-ROW($A19)),0))</f>
        <v>77</v>
      </c>
      <c r="I19" s="222">
        <f t="shared" ref="I19:I82" ca="1" si="8">IF(OR($A19="S",$A19=0),0,MATCH(OFFSET($B19,0,$A19)+1,OFFSET($B19,1,$A19,ROW($A$96)-ROW($A19)),0))</f>
        <v>3</v>
      </c>
      <c r="J19" s="222">
        <f t="shared" ref="J19:J82" si="9">LEN(LEFT($L19,LEN($L19)-1*(RIGHT($L19,1)=".")))-LEN(SUBSTITUTE(LEFT($L19,LEN($L19)-1*(RIGHT($L19,1)=".")),".",""))</f>
        <v>0</v>
      </c>
      <c r="K19" s="269" t="s">
        <v>0</v>
      </c>
      <c r="L19" s="324">
        <v>1</v>
      </c>
      <c r="M19" s="325" t="s">
        <v>40</v>
      </c>
      <c r="N19" s="326"/>
      <c r="O19" s="327"/>
      <c r="P19" s="328"/>
      <c r="Q19" s="329">
        <f>IF($A19="S",0,$R19)</f>
        <v>8356.7099999999991</v>
      </c>
      <c r="R19" s="330">
        <f>SUM(R20:R21)</f>
        <v>8356.7099999999991</v>
      </c>
      <c r="S19" s="331">
        <f ca="1">IF(AND($A19="S",COUNTIF($Z$17:$AW$17,mediçao-1)&gt;0),SUM(OFFSET($Z19,0,0,1,MATCH(mediçao-1,$Z$17:$AW$17,0))),IF(AND(RegimeExecucao="Global",$R19&gt;0,COUNTIF($Z$17:$AW$17,mediçao-1)&gt;0),V19/$R19*100,0))</f>
        <v>0</v>
      </c>
      <c r="T19" s="330">
        <f>SUM(T20:T21)</f>
        <v>0</v>
      </c>
      <c r="U19" s="332">
        <f ca="1">IF(AND($A19="S",COUNTIF($Z$17:$AW$17,mediçao)&gt;0),SUM(OFFSET($Z19,0,0,1,MATCH(mediçao,$Z$17:$AW$17,0))),IF(AND(RegimeExecucao="Global",$R19&gt;0,COUNTIF($Z$17:$AW$17,mediçao)&gt;0),X19/$R19*100,0))</f>
        <v>0</v>
      </c>
      <c r="V19" s="330">
        <f>SUM(V20:V21)</f>
        <v>8356.7099999999991</v>
      </c>
      <c r="W19" s="330">
        <f>SUM(W20:W21)</f>
        <v>0</v>
      </c>
      <c r="X19" s="293">
        <f>V19+W19</f>
        <v>8356.7099999999991</v>
      </c>
      <c r="Y19" s="333"/>
      <c r="Z19" s="334"/>
      <c r="AA19" s="328"/>
      <c r="AB19" s="328"/>
      <c r="AC19" s="328"/>
      <c r="AD19" s="328"/>
      <c r="AE19" s="328"/>
      <c r="AF19" s="328"/>
      <c r="AG19" s="328"/>
      <c r="AH19" s="328"/>
      <c r="AI19" s="328"/>
      <c r="AJ19" s="328"/>
      <c r="AK19" s="335"/>
      <c r="AL19" s="334"/>
      <c r="AM19" s="328"/>
      <c r="AN19" s="328"/>
      <c r="AO19" s="328"/>
      <c r="AP19" s="328"/>
      <c r="AQ19" s="271"/>
      <c r="AR19" s="271"/>
      <c r="AS19" s="271"/>
      <c r="AT19" s="271"/>
      <c r="AU19" s="271"/>
      <c r="AV19" s="271"/>
      <c r="AW19" s="272"/>
      <c r="AX19" s="245"/>
      <c r="AY19" s="273">
        <v>0</v>
      </c>
      <c r="AZ19" s="274">
        <f>BA19-AY19</f>
        <v>0</v>
      </c>
      <c r="BA19" s="275">
        <v>0</v>
      </c>
      <c r="BB19" s="276" t="e">
        <f t="shared" ref="BB19:BB82" ca="1" si="10">IF($A19="S",VTOTAL,IF($A19=0,0,ROUND(SomaAgrup,arredtot)))</f>
        <v>#REF!</v>
      </c>
      <c r="BC19" s="277" t="e">
        <f ca="1">BD19-BB19</f>
        <v>#REF!</v>
      </c>
      <c r="BD19" s="278" t="e">
        <f t="shared" ref="BD19:BD82" ca="1" si="11">IF($A19="S",VTOTAL,IF($A19=0,0,ROUND(SomaAgrup,arredtot)))</f>
        <v>#REF!</v>
      </c>
      <c r="BF19" s="770" t="e">
        <f ca="1">IF(BK19&gt;0,L19,"")</f>
        <v>#REF!</v>
      </c>
      <c r="BG19" s="771"/>
      <c r="BH19" s="279" t="e">
        <f ca="1">IF(BK19&gt;0,M19,"")</f>
        <v>#REF!</v>
      </c>
      <c r="BI19" s="772" t="e">
        <f ca="1">IF(BK19&gt;0,N19,"")</f>
        <v>#REF!</v>
      </c>
      <c r="BJ19" s="773"/>
      <c r="BK19" s="774" t="e">
        <f ca="1">IF(BR19&gt;0,CHOOSE(MATCH(RegimeExecucao,{"Unitário","Global"},0),IF($A19="S",BR19/BN19,""),(BR19/BN19)*100),"")</f>
        <v>#REF!</v>
      </c>
      <c r="BL19" s="775"/>
      <c r="BM19" s="776"/>
      <c r="BN19" s="777" t="e">
        <f ca="1">IF(BR19&gt;0,CHOOSE(MATCH(RegimeExecucao,{"Unitário","Global"},0),IF($A19="S",ROUND(P19,arredunit),""),ROUND(R19,arredtot)),"")</f>
        <v>#REF!</v>
      </c>
      <c r="BO19" s="778"/>
      <c r="BP19" s="778"/>
      <c r="BQ19" s="779"/>
      <c r="BR19" s="777" t="e">
        <f t="shared" ca="1" si="1"/>
        <v>#REF!</v>
      </c>
      <c r="BS19" s="778"/>
      <c r="BT19" s="778"/>
      <c r="BU19" s="779"/>
      <c r="BV19" s="780"/>
      <c r="BW19" s="780"/>
      <c r="BX19" s="780"/>
      <c r="BY19" s="780"/>
      <c r="BZ19" s="780"/>
      <c r="CA19" s="781"/>
      <c r="CB19" s="245"/>
      <c r="CC19" s="245"/>
    </row>
    <row r="20" spans="1:81" s="222" customFormat="1" ht="43.2" customHeight="1">
      <c r="A20" s="222" t="str">
        <f t="shared" ref="A20:A83" si="12">CHOOSE(1+LOG(1+2*(K20="Meta")+4*(K20="Nível 2")+8*(K20="Nível 3")+16*(K20="Nível 4")+32*(K20="Serviço"),2),0,1,2,3,4,"S")</f>
        <v>S</v>
      </c>
      <c r="B20" s="222">
        <f t="shared" ref="B20:B83" si="13">IF(OR(A20="S",A20=0),0,IF(ISERROR(I20),H20,SMALL(H20:I20,1)))</f>
        <v>0</v>
      </c>
      <c r="C20" s="222">
        <f t="shared" ca="1" si="2"/>
        <v>1</v>
      </c>
      <c r="D20" s="222">
        <f t="shared" ca="1" si="3"/>
        <v>0</v>
      </c>
      <c r="E20" s="222">
        <f t="shared" ca="1" si="4"/>
        <v>0</v>
      </c>
      <c r="F20" s="222">
        <f t="shared" ca="1" si="5"/>
        <v>0</v>
      </c>
      <c r="G20" s="222">
        <f t="shared" ca="1" si="6"/>
        <v>1</v>
      </c>
      <c r="H20" s="222">
        <f t="shared" ca="1" si="7"/>
        <v>0</v>
      </c>
      <c r="I20" s="222">
        <f t="shared" ca="1" si="8"/>
        <v>0</v>
      </c>
      <c r="J20" s="222">
        <f t="shared" si="9"/>
        <v>1</v>
      </c>
      <c r="K20" s="269" t="s">
        <v>4</v>
      </c>
      <c r="L20" s="336" t="s">
        <v>41</v>
      </c>
      <c r="M20" s="325" t="s">
        <v>42</v>
      </c>
      <c r="N20" s="326" t="s">
        <v>43</v>
      </c>
      <c r="O20" s="327">
        <v>9.9999329915904429</v>
      </c>
      <c r="P20" s="328">
        <v>596.94000000000005</v>
      </c>
      <c r="Q20" s="329">
        <f t="shared" ref="Q20:Q83" si="14">IF($A20="S",0,$R20)</f>
        <v>0</v>
      </c>
      <c r="R20" s="330">
        <f>P20*O20</f>
        <v>5969.36</v>
      </c>
      <c r="S20" s="331">
        <f>Z20+AA20</f>
        <v>10</v>
      </c>
      <c r="T20" s="337">
        <f>AB20</f>
        <v>0</v>
      </c>
      <c r="U20" s="332">
        <f>S20+T20</f>
        <v>10</v>
      </c>
      <c r="V20" s="338">
        <f>IF(O20-Z20-AA20&gt;0.01,(Z20+AA20)*P20,R20)</f>
        <v>5969.36</v>
      </c>
      <c r="W20" s="339">
        <f>IF(O20-AB20&gt;0.01,AB20*P20,R20)</f>
        <v>0</v>
      </c>
      <c r="X20" s="340">
        <f>V20+W20</f>
        <v>5969.36</v>
      </c>
      <c r="Y20" s="333"/>
      <c r="Z20" s="334">
        <v>10</v>
      </c>
      <c r="AA20" s="328"/>
      <c r="AB20" s="328"/>
      <c r="AC20" s="328"/>
      <c r="AD20" s="328"/>
      <c r="AE20" s="328"/>
      <c r="AF20" s="328"/>
      <c r="AG20" s="328"/>
      <c r="AH20" s="328"/>
      <c r="AI20" s="328"/>
      <c r="AJ20" s="328"/>
      <c r="AK20" s="335"/>
      <c r="AL20" s="334"/>
      <c r="AM20" s="328"/>
      <c r="AN20" s="328"/>
      <c r="AO20" s="328"/>
      <c r="AP20" s="328"/>
      <c r="AQ20" s="271"/>
      <c r="AR20" s="271"/>
      <c r="AS20" s="271"/>
      <c r="AT20" s="271"/>
      <c r="AU20" s="271"/>
      <c r="AV20" s="271"/>
      <c r="AW20" s="272"/>
      <c r="AX20" s="245"/>
      <c r="AY20" s="273">
        <v>0</v>
      </c>
      <c r="AZ20" s="274">
        <f t="shared" ref="AZ20:AZ83" si="15">BA20-AY20</f>
        <v>0</v>
      </c>
      <c r="BA20" s="275">
        <v>0</v>
      </c>
      <c r="BB20" s="276" t="e">
        <f t="shared" si="10"/>
        <v>#REF!</v>
      </c>
      <c r="BC20" s="277" t="e">
        <f t="shared" ref="BC20:BC83" si="16">BD20-BB20</f>
        <v>#REF!</v>
      </c>
      <c r="BD20" s="278" t="e">
        <f t="shared" si="11"/>
        <v>#REF!</v>
      </c>
      <c r="BF20" s="770" t="e">
        <f t="shared" ref="BF20:BF83" si="17">IF(BK20&gt;0,L20,"")</f>
        <v>#REF!</v>
      </c>
      <c r="BG20" s="771"/>
      <c r="BH20" s="279" t="e">
        <f t="shared" ref="BH20:BH83" si="18">IF(BK20&gt;0,M20,"")</f>
        <v>#REF!</v>
      </c>
      <c r="BI20" s="772" t="e">
        <f t="shared" ref="BI20:BI83" si="19">IF(BK20&gt;0,N20,"")</f>
        <v>#REF!</v>
      </c>
      <c r="BJ20" s="773"/>
      <c r="BK20" s="774" t="e">
        <f>IF(BR20&gt;0,CHOOSE(MATCH(RegimeExecucao,{"Unitário","Global"},0),IF($A20="S",BR20/BN20,""),(BR20/BN20)*100),"")</f>
        <v>#REF!</v>
      </c>
      <c r="BL20" s="775"/>
      <c r="BM20" s="776"/>
      <c r="BN20" s="777" t="e">
        <f>IF(BR20&gt;0,CHOOSE(MATCH(RegimeExecucao,{"Unitário","Global"},0),IF($A20="S",ROUND(P20,arredunit),""),ROUND(R20,arredtot)),"")</f>
        <v>#REF!</v>
      </c>
      <c r="BO20" s="778"/>
      <c r="BP20" s="778"/>
      <c r="BQ20" s="779"/>
      <c r="BR20" s="777" t="e">
        <f t="shared" si="1"/>
        <v>#REF!</v>
      </c>
      <c r="BS20" s="778"/>
      <c r="BT20" s="778"/>
      <c r="BU20" s="779"/>
      <c r="BV20" s="780"/>
      <c r="BW20" s="780"/>
      <c r="BX20" s="780"/>
      <c r="BY20" s="780"/>
      <c r="BZ20" s="780"/>
      <c r="CA20" s="781"/>
      <c r="CB20" s="245"/>
      <c r="CC20" s="245"/>
    </row>
    <row r="21" spans="1:81" s="222" customFormat="1" ht="13.8">
      <c r="A21" s="222" t="str">
        <f t="shared" si="12"/>
        <v>S</v>
      </c>
      <c r="B21" s="222">
        <f t="shared" si="13"/>
        <v>0</v>
      </c>
      <c r="C21" s="222">
        <f t="shared" ca="1" si="2"/>
        <v>1</v>
      </c>
      <c r="D21" s="222">
        <f t="shared" ca="1" si="3"/>
        <v>0</v>
      </c>
      <c r="E21" s="222">
        <f t="shared" ca="1" si="4"/>
        <v>0</v>
      </c>
      <c r="F21" s="222">
        <f t="shared" ca="1" si="5"/>
        <v>0</v>
      </c>
      <c r="G21" s="222">
        <f t="shared" ca="1" si="6"/>
        <v>2</v>
      </c>
      <c r="H21" s="222">
        <f t="shared" ca="1" si="7"/>
        <v>0</v>
      </c>
      <c r="I21" s="222">
        <f t="shared" ca="1" si="8"/>
        <v>0</v>
      </c>
      <c r="J21" s="222">
        <f t="shared" si="9"/>
        <v>1</v>
      </c>
      <c r="K21" s="269" t="s">
        <v>4</v>
      </c>
      <c r="L21" s="336" t="s">
        <v>44</v>
      </c>
      <c r="M21" s="325" t="s">
        <v>45</v>
      </c>
      <c r="N21" s="326" t="s">
        <v>43</v>
      </c>
      <c r="O21" s="327">
        <v>6.0000251325743292</v>
      </c>
      <c r="P21" s="328">
        <v>397.89</v>
      </c>
      <c r="Q21" s="329">
        <f t="shared" si="14"/>
        <v>0</v>
      </c>
      <c r="R21" s="330">
        <f t="shared" ref="R21:R84" si="20">P21*O21</f>
        <v>2387.35</v>
      </c>
      <c r="S21" s="331">
        <f t="shared" ref="S21:S84" si="21">Z21+AA21</f>
        <v>6</v>
      </c>
      <c r="T21" s="337">
        <f t="shared" ref="T21:T84" si="22">AB21</f>
        <v>0</v>
      </c>
      <c r="U21" s="332">
        <f t="shared" ref="U21:U84" si="23">S21+T21</f>
        <v>6</v>
      </c>
      <c r="V21" s="338">
        <f t="shared" ref="V21:V84" si="24">IF(O21-Z21-AA21&gt;0.01,(Z21+AA21)*P21,R21)</f>
        <v>2387.35</v>
      </c>
      <c r="W21" s="339">
        <f t="shared" ref="W21:W84" si="25">IF(O21-AB21&gt;0.01,AB21*P21,R21)</f>
        <v>0</v>
      </c>
      <c r="X21" s="340">
        <f t="shared" ref="X21:X84" si="26">V21+W21</f>
        <v>2387.35</v>
      </c>
      <c r="Y21" s="333"/>
      <c r="Z21" s="334">
        <v>6</v>
      </c>
      <c r="AA21" s="328"/>
      <c r="AB21" s="328"/>
      <c r="AC21" s="328"/>
      <c r="AD21" s="328"/>
      <c r="AE21" s="328"/>
      <c r="AF21" s="328"/>
      <c r="AG21" s="328"/>
      <c r="AH21" s="328"/>
      <c r="AI21" s="328"/>
      <c r="AJ21" s="328"/>
      <c r="AK21" s="335"/>
      <c r="AL21" s="334"/>
      <c r="AM21" s="328"/>
      <c r="AN21" s="328"/>
      <c r="AO21" s="328"/>
      <c r="AP21" s="328"/>
      <c r="AQ21" s="271"/>
      <c r="AR21" s="271"/>
      <c r="AS21" s="271"/>
      <c r="AT21" s="271"/>
      <c r="AU21" s="271"/>
      <c r="AV21" s="271"/>
      <c r="AW21" s="272"/>
      <c r="AX21" s="245"/>
      <c r="AY21" s="273">
        <v>0</v>
      </c>
      <c r="AZ21" s="274">
        <f t="shared" si="15"/>
        <v>0</v>
      </c>
      <c r="BA21" s="275">
        <v>0</v>
      </c>
      <c r="BB21" s="276" t="e">
        <f t="shared" si="10"/>
        <v>#REF!</v>
      </c>
      <c r="BC21" s="277" t="e">
        <f t="shared" si="16"/>
        <v>#REF!</v>
      </c>
      <c r="BD21" s="278" t="e">
        <f t="shared" si="11"/>
        <v>#REF!</v>
      </c>
      <c r="BF21" s="770" t="e">
        <f t="shared" si="17"/>
        <v>#REF!</v>
      </c>
      <c r="BG21" s="771"/>
      <c r="BH21" s="279" t="e">
        <f t="shared" si="18"/>
        <v>#REF!</v>
      </c>
      <c r="BI21" s="772" t="e">
        <f t="shared" si="19"/>
        <v>#REF!</v>
      </c>
      <c r="BJ21" s="773"/>
      <c r="BK21" s="774" t="e">
        <f>IF(BR21&gt;0,CHOOSE(MATCH(RegimeExecucao,{"Unitário","Global"},0),IF($A21="S",BR21/BN21,""),(BR21/BN21)*100),"")</f>
        <v>#REF!</v>
      </c>
      <c r="BL21" s="775"/>
      <c r="BM21" s="776"/>
      <c r="BN21" s="777" t="e">
        <f>IF(BR21&gt;0,CHOOSE(MATCH(RegimeExecucao,{"Unitário","Global"},0),IF($A21="S",ROUND(P21,arredunit),""),ROUND(R21,arredtot)),"")</f>
        <v>#REF!</v>
      </c>
      <c r="BO21" s="778"/>
      <c r="BP21" s="778"/>
      <c r="BQ21" s="779"/>
      <c r="BR21" s="777" t="e">
        <f t="shared" si="1"/>
        <v>#REF!</v>
      </c>
      <c r="BS21" s="778"/>
      <c r="BT21" s="778"/>
      <c r="BU21" s="779"/>
      <c r="BV21" s="780"/>
      <c r="BW21" s="780"/>
      <c r="BX21" s="780"/>
      <c r="BY21" s="780"/>
      <c r="BZ21" s="780"/>
      <c r="CA21" s="781"/>
      <c r="CB21" s="245"/>
      <c r="CC21" s="245"/>
    </row>
    <row r="22" spans="1:81" s="222" customFormat="1" ht="13.8">
      <c r="A22" s="222">
        <f t="shared" si="12"/>
        <v>1</v>
      </c>
      <c r="B22" s="222">
        <f t="shared" ca="1" si="13"/>
        <v>3</v>
      </c>
      <c r="C22" s="222">
        <f t="shared" ca="1" si="2"/>
        <v>2</v>
      </c>
      <c r="D22" s="222">
        <f t="shared" ca="1" si="3"/>
        <v>0</v>
      </c>
      <c r="E22" s="222">
        <f t="shared" ca="1" si="4"/>
        <v>0</v>
      </c>
      <c r="F22" s="222">
        <f t="shared" ca="1" si="5"/>
        <v>0</v>
      </c>
      <c r="G22" s="222">
        <f t="shared" ca="1" si="6"/>
        <v>0</v>
      </c>
      <c r="H22" s="222">
        <f t="shared" ca="1" si="7"/>
        <v>74</v>
      </c>
      <c r="I22" s="222">
        <f t="shared" ca="1" si="8"/>
        <v>3</v>
      </c>
      <c r="J22" s="222">
        <f t="shared" si="9"/>
        <v>0</v>
      </c>
      <c r="K22" s="269" t="str">
        <f>CHOOSE(1+LOG(1+2*($J22=3)+4*($J22=2)+8*($J22=1)+16*(AND($L22&lt;&gt;"",$L22&lt;&gt;0,$J22=0))+32*OR($N22&lt;&gt;"",RegimeExecucao="Global",AND($L22="",$M22="",$N22="")),2),"","Nível 4","Nível 3","Nível 2","Meta","Serviço")</f>
        <v>Meta</v>
      </c>
      <c r="L22" s="324">
        <v>2</v>
      </c>
      <c r="M22" s="325" t="s">
        <v>46</v>
      </c>
      <c r="N22" s="326"/>
      <c r="O22" s="327"/>
      <c r="P22" s="328"/>
      <c r="Q22" s="329">
        <f t="shared" si="14"/>
        <v>9325.42</v>
      </c>
      <c r="R22" s="330">
        <f>SUM(R23:R24)</f>
        <v>9325.42</v>
      </c>
      <c r="S22" s="331">
        <f t="shared" si="21"/>
        <v>0</v>
      </c>
      <c r="T22" s="339">
        <f>SUM(T23:T24)</f>
        <v>0</v>
      </c>
      <c r="U22" s="332">
        <f t="shared" si="23"/>
        <v>0</v>
      </c>
      <c r="V22" s="338">
        <f t="shared" si="24"/>
        <v>9325.42</v>
      </c>
      <c r="W22" s="339">
        <f>SUM(W23:W24)</f>
        <v>0</v>
      </c>
      <c r="X22" s="340">
        <f t="shared" si="26"/>
        <v>9325.42</v>
      </c>
      <c r="Y22" s="333"/>
      <c r="Z22" s="334"/>
      <c r="AA22" s="328"/>
      <c r="AB22" s="328"/>
      <c r="AC22" s="328"/>
      <c r="AD22" s="328"/>
      <c r="AE22" s="328"/>
      <c r="AF22" s="328"/>
      <c r="AG22" s="328"/>
      <c r="AH22" s="328"/>
      <c r="AI22" s="328"/>
      <c r="AJ22" s="328"/>
      <c r="AK22" s="335"/>
      <c r="AL22" s="334"/>
      <c r="AM22" s="328"/>
      <c r="AN22" s="328"/>
      <c r="AO22" s="328"/>
      <c r="AP22" s="328"/>
      <c r="AQ22" s="271"/>
      <c r="AR22" s="271"/>
      <c r="AS22" s="271"/>
      <c r="AT22" s="271"/>
      <c r="AU22" s="271"/>
      <c r="AV22" s="271"/>
      <c r="AW22" s="272"/>
      <c r="AX22" s="245"/>
      <c r="AY22" s="273">
        <v>0</v>
      </c>
      <c r="AZ22" s="274">
        <f t="shared" si="15"/>
        <v>0</v>
      </c>
      <c r="BA22" s="275">
        <v>0</v>
      </c>
      <c r="BB22" s="276" t="e">
        <f t="shared" ca="1" si="10"/>
        <v>#REF!</v>
      </c>
      <c r="BC22" s="277" t="e">
        <f t="shared" ca="1" si="16"/>
        <v>#REF!</v>
      </c>
      <c r="BD22" s="278" t="e">
        <f t="shared" ca="1" si="11"/>
        <v>#REF!</v>
      </c>
      <c r="BF22" s="770" t="e">
        <f t="shared" ca="1" si="17"/>
        <v>#REF!</v>
      </c>
      <c r="BG22" s="771"/>
      <c r="BH22" s="279" t="e">
        <f t="shared" ca="1" si="18"/>
        <v>#REF!</v>
      </c>
      <c r="BI22" s="772" t="e">
        <f t="shared" ca="1" si="19"/>
        <v>#REF!</v>
      </c>
      <c r="BJ22" s="773"/>
      <c r="BK22" s="774" t="e">
        <f ca="1">IF(BR22&gt;0,CHOOSE(MATCH(RegimeExecucao,{"Unitário","Global"},0),IF($A22="S",BR22/BN22,""),(BR22/BN22)*100),"")</f>
        <v>#REF!</v>
      </c>
      <c r="BL22" s="775"/>
      <c r="BM22" s="776"/>
      <c r="BN22" s="777" t="e">
        <f ca="1">IF(BR22&gt;0,CHOOSE(MATCH(RegimeExecucao,{"Unitário","Global"},0),IF($A22="S",ROUND(P22,arredunit),""),ROUND(R22,arredtot)),"")</f>
        <v>#REF!</v>
      </c>
      <c r="BO22" s="778"/>
      <c r="BP22" s="778"/>
      <c r="BQ22" s="779"/>
      <c r="BR22" s="777" t="e">
        <f t="shared" ca="1" si="1"/>
        <v>#REF!</v>
      </c>
      <c r="BS22" s="778"/>
      <c r="BT22" s="778"/>
      <c r="BU22" s="779"/>
      <c r="BV22" s="780"/>
      <c r="BW22" s="780"/>
      <c r="BX22" s="780"/>
      <c r="BY22" s="780"/>
      <c r="BZ22" s="780"/>
      <c r="CA22" s="781"/>
      <c r="CB22" s="245"/>
      <c r="CC22" s="245"/>
    </row>
    <row r="23" spans="1:81" s="222" customFormat="1" ht="28.8" customHeight="1">
      <c r="A23" s="222" t="str">
        <f t="shared" si="12"/>
        <v>S</v>
      </c>
      <c r="B23" s="222">
        <f t="shared" si="13"/>
        <v>0</v>
      </c>
      <c r="C23" s="222">
        <f t="shared" ca="1" si="2"/>
        <v>2</v>
      </c>
      <c r="D23" s="222">
        <f t="shared" ca="1" si="3"/>
        <v>0</v>
      </c>
      <c r="E23" s="222">
        <f t="shared" ca="1" si="4"/>
        <v>0</v>
      </c>
      <c r="F23" s="222">
        <f t="shared" ca="1" si="5"/>
        <v>0</v>
      </c>
      <c r="G23" s="222">
        <f t="shared" ca="1" si="6"/>
        <v>1</v>
      </c>
      <c r="H23" s="222">
        <f t="shared" ca="1" si="7"/>
        <v>0</v>
      </c>
      <c r="I23" s="222">
        <f t="shared" ca="1" si="8"/>
        <v>0</v>
      </c>
      <c r="J23" s="222">
        <f t="shared" si="9"/>
        <v>1</v>
      </c>
      <c r="K23" s="269" t="s">
        <v>4</v>
      </c>
      <c r="L23" s="336" t="s">
        <v>47</v>
      </c>
      <c r="M23" s="325" t="s">
        <v>48</v>
      </c>
      <c r="N23" s="326" t="s">
        <v>49</v>
      </c>
      <c r="O23" s="327">
        <v>21.998700334199775</v>
      </c>
      <c r="P23" s="328">
        <v>53.86</v>
      </c>
      <c r="Q23" s="329">
        <f t="shared" si="14"/>
        <v>0</v>
      </c>
      <c r="R23" s="330">
        <f t="shared" si="20"/>
        <v>1184.8499999999999</v>
      </c>
      <c r="S23" s="331">
        <f t="shared" si="21"/>
        <v>22</v>
      </c>
      <c r="T23" s="337">
        <f t="shared" si="22"/>
        <v>0</v>
      </c>
      <c r="U23" s="332">
        <f t="shared" si="23"/>
        <v>22</v>
      </c>
      <c r="V23" s="338">
        <f t="shared" si="24"/>
        <v>1184.8499999999999</v>
      </c>
      <c r="W23" s="339">
        <f t="shared" si="25"/>
        <v>0</v>
      </c>
      <c r="X23" s="340">
        <f t="shared" si="26"/>
        <v>1184.8499999999999</v>
      </c>
      <c r="Y23" s="333"/>
      <c r="Z23" s="334">
        <v>22</v>
      </c>
      <c r="AA23" s="328"/>
      <c r="AB23" s="328"/>
      <c r="AC23" s="328"/>
      <c r="AD23" s="328"/>
      <c r="AE23" s="328"/>
      <c r="AF23" s="328"/>
      <c r="AG23" s="328"/>
      <c r="AH23" s="328"/>
      <c r="AI23" s="328"/>
      <c r="AJ23" s="328"/>
      <c r="AK23" s="335"/>
      <c r="AL23" s="334"/>
      <c r="AM23" s="328"/>
      <c r="AN23" s="328"/>
      <c r="AO23" s="328"/>
      <c r="AP23" s="328"/>
      <c r="AQ23" s="271"/>
      <c r="AR23" s="271"/>
      <c r="AS23" s="271"/>
      <c r="AT23" s="271"/>
      <c r="AU23" s="271"/>
      <c r="AV23" s="271"/>
      <c r="AW23" s="272"/>
      <c r="AX23" s="245"/>
      <c r="AY23" s="273">
        <v>0</v>
      </c>
      <c r="AZ23" s="274">
        <f t="shared" si="15"/>
        <v>0</v>
      </c>
      <c r="BA23" s="275">
        <v>0</v>
      </c>
      <c r="BB23" s="276" t="e">
        <f t="shared" si="10"/>
        <v>#REF!</v>
      </c>
      <c r="BC23" s="277" t="e">
        <f t="shared" si="16"/>
        <v>#REF!</v>
      </c>
      <c r="BD23" s="278" t="e">
        <f t="shared" si="11"/>
        <v>#REF!</v>
      </c>
      <c r="BF23" s="770" t="e">
        <f t="shared" si="17"/>
        <v>#REF!</v>
      </c>
      <c r="BG23" s="771"/>
      <c r="BH23" s="279" t="e">
        <f t="shared" si="18"/>
        <v>#REF!</v>
      </c>
      <c r="BI23" s="772" t="e">
        <f t="shared" si="19"/>
        <v>#REF!</v>
      </c>
      <c r="BJ23" s="773"/>
      <c r="BK23" s="774" t="e">
        <f>IF(BR23&gt;0,CHOOSE(MATCH(RegimeExecucao,{"Unitário","Global"},0),IF($A23="S",BR23/BN23,""),(BR23/BN23)*100),"")</f>
        <v>#REF!</v>
      </c>
      <c r="BL23" s="775"/>
      <c r="BM23" s="776"/>
      <c r="BN23" s="777" t="e">
        <f>IF(BR23&gt;0,CHOOSE(MATCH(RegimeExecucao,{"Unitário","Global"},0),IF($A23="S",ROUND(P23,arredunit),""),ROUND(R23,arredtot)),"")</f>
        <v>#REF!</v>
      </c>
      <c r="BO23" s="778"/>
      <c r="BP23" s="778"/>
      <c r="BQ23" s="779"/>
      <c r="BR23" s="777" t="e">
        <f t="shared" si="1"/>
        <v>#REF!</v>
      </c>
      <c r="BS23" s="778"/>
      <c r="BT23" s="778"/>
      <c r="BU23" s="779"/>
      <c r="BV23" s="780"/>
      <c r="BW23" s="780"/>
      <c r="BX23" s="780"/>
      <c r="BY23" s="780"/>
      <c r="BZ23" s="780"/>
      <c r="CA23" s="781"/>
      <c r="CB23" s="245"/>
      <c r="CC23" s="245"/>
    </row>
    <row r="24" spans="1:81" s="222" customFormat="1" ht="27.6">
      <c r="A24" s="222" t="str">
        <f t="shared" si="12"/>
        <v>S</v>
      </c>
      <c r="B24" s="222">
        <f t="shared" si="13"/>
        <v>0</v>
      </c>
      <c r="C24" s="222">
        <f t="shared" ca="1" si="2"/>
        <v>2</v>
      </c>
      <c r="D24" s="222">
        <f t="shared" ca="1" si="3"/>
        <v>0</v>
      </c>
      <c r="E24" s="222">
        <f t="shared" ca="1" si="4"/>
        <v>0</v>
      </c>
      <c r="F24" s="222">
        <f t="shared" ca="1" si="5"/>
        <v>0</v>
      </c>
      <c r="G24" s="222">
        <f t="shared" ca="1" si="6"/>
        <v>2</v>
      </c>
      <c r="H24" s="222">
        <f t="shared" ca="1" si="7"/>
        <v>0</v>
      </c>
      <c r="I24" s="222">
        <f t="shared" ca="1" si="8"/>
        <v>0</v>
      </c>
      <c r="J24" s="222">
        <f t="shared" si="9"/>
        <v>1</v>
      </c>
      <c r="K24" s="269" t="s">
        <v>4</v>
      </c>
      <c r="L24" s="336" t="s">
        <v>50</v>
      </c>
      <c r="M24" s="325" t="s">
        <v>51</v>
      </c>
      <c r="N24" s="326" t="s">
        <v>43</v>
      </c>
      <c r="O24" s="327">
        <v>386.9</v>
      </c>
      <c r="P24" s="328">
        <v>21.040501421555959</v>
      </c>
      <c r="Q24" s="329">
        <f t="shared" si="14"/>
        <v>0</v>
      </c>
      <c r="R24" s="330">
        <f t="shared" si="20"/>
        <v>8140.57</v>
      </c>
      <c r="S24" s="331">
        <f t="shared" si="21"/>
        <v>0</v>
      </c>
      <c r="T24" s="337">
        <f t="shared" si="22"/>
        <v>0</v>
      </c>
      <c r="U24" s="332">
        <f t="shared" si="23"/>
        <v>0</v>
      </c>
      <c r="V24" s="338">
        <f t="shared" si="24"/>
        <v>0</v>
      </c>
      <c r="W24" s="339">
        <f t="shared" si="25"/>
        <v>0</v>
      </c>
      <c r="X24" s="340">
        <f t="shared" si="26"/>
        <v>0</v>
      </c>
      <c r="Y24" s="333"/>
      <c r="Z24" s="334"/>
      <c r="AA24" s="328"/>
      <c r="AB24" s="328"/>
      <c r="AC24" s="328"/>
      <c r="AD24" s="328"/>
      <c r="AE24" s="328"/>
      <c r="AF24" s="328"/>
      <c r="AG24" s="328"/>
      <c r="AH24" s="328"/>
      <c r="AI24" s="328"/>
      <c r="AJ24" s="328"/>
      <c r="AK24" s="335"/>
      <c r="AL24" s="334"/>
      <c r="AM24" s="328"/>
      <c r="AN24" s="328"/>
      <c r="AO24" s="328"/>
      <c r="AP24" s="328"/>
      <c r="AQ24" s="271"/>
      <c r="AR24" s="271"/>
      <c r="AS24" s="271"/>
      <c r="AT24" s="271"/>
      <c r="AU24" s="271"/>
      <c r="AV24" s="271"/>
      <c r="AW24" s="272"/>
      <c r="AX24" s="245"/>
      <c r="AY24" s="273">
        <v>0</v>
      </c>
      <c r="AZ24" s="274">
        <f t="shared" si="15"/>
        <v>0</v>
      </c>
      <c r="BA24" s="275">
        <v>0</v>
      </c>
      <c r="BB24" s="276" t="e">
        <f t="shared" si="10"/>
        <v>#REF!</v>
      </c>
      <c r="BC24" s="277" t="e">
        <f t="shared" si="16"/>
        <v>#REF!</v>
      </c>
      <c r="BD24" s="278" t="e">
        <f t="shared" si="11"/>
        <v>#REF!</v>
      </c>
      <c r="BF24" s="770" t="e">
        <f t="shared" si="17"/>
        <v>#REF!</v>
      </c>
      <c r="BG24" s="771"/>
      <c r="BH24" s="279" t="e">
        <f t="shared" si="18"/>
        <v>#REF!</v>
      </c>
      <c r="BI24" s="772" t="e">
        <f t="shared" si="19"/>
        <v>#REF!</v>
      </c>
      <c r="BJ24" s="773"/>
      <c r="BK24" s="774" t="e">
        <f>IF(BR24&gt;0,CHOOSE(MATCH(RegimeExecucao,{"Unitário","Global"},0),IF($A24="S",BR24/BN24,""),(BR24/BN24)*100),"")</f>
        <v>#REF!</v>
      </c>
      <c r="BL24" s="775"/>
      <c r="BM24" s="776"/>
      <c r="BN24" s="777" t="e">
        <f>IF(BR24&gt;0,CHOOSE(MATCH(RegimeExecucao,{"Unitário","Global"},0),IF($A24="S",ROUND(P24,arredunit),""),ROUND(R24,arredtot)),"")</f>
        <v>#REF!</v>
      </c>
      <c r="BO24" s="778"/>
      <c r="BP24" s="778"/>
      <c r="BQ24" s="779"/>
      <c r="BR24" s="777" t="e">
        <f t="shared" si="1"/>
        <v>#REF!</v>
      </c>
      <c r="BS24" s="778"/>
      <c r="BT24" s="778"/>
      <c r="BU24" s="779"/>
      <c r="BV24" s="780"/>
      <c r="BW24" s="780"/>
      <c r="BX24" s="780"/>
      <c r="BY24" s="780"/>
      <c r="BZ24" s="780"/>
      <c r="CA24" s="781"/>
      <c r="CB24" s="245"/>
      <c r="CC24" s="245"/>
    </row>
    <row r="25" spans="1:81" s="222" customFormat="1" ht="13.8">
      <c r="A25" s="222">
        <f t="shared" si="12"/>
        <v>1</v>
      </c>
      <c r="B25" s="222">
        <f t="shared" ca="1" si="13"/>
        <v>13</v>
      </c>
      <c r="C25" s="222">
        <f t="shared" ca="1" si="2"/>
        <v>3</v>
      </c>
      <c r="D25" s="222">
        <f t="shared" ca="1" si="3"/>
        <v>0</v>
      </c>
      <c r="E25" s="222">
        <f t="shared" ca="1" si="4"/>
        <v>0</v>
      </c>
      <c r="F25" s="222">
        <f t="shared" ca="1" si="5"/>
        <v>0</v>
      </c>
      <c r="G25" s="222">
        <f t="shared" ca="1" si="6"/>
        <v>0</v>
      </c>
      <c r="H25" s="222">
        <f t="shared" ca="1" si="7"/>
        <v>71</v>
      </c>
      <c r="I25" s="222">
        <f t="shared" ca="1" si="8"/>
        <v>13</v>
      </c>
      <c r="J25" s="222">
        <f t="shared" si="9"/>
        <v>0</v>
      </c>
      <c r="K25" s="269" t="str">
        <f>CHOOSE(1+LOG(1+2*($J25=3)+4*($J25=2)+8*($J25=1)+16*(AND($L25&lt;&gt;"",$L25&lt;&gt;0,$J25=0))+32*OR($N25&lt;&gt;"",RegimeExecucao="Global",AND($L25="",$M25="",$N25="")),2),"","Nível 4","Nível 3","Nível 2","Meta","Serviço")</f>
        <v>Meta</v>
      </c>
      <c r="L25" s="324">
        <v>3</v>
      </c>
      <c r="M25" s="325" t="s">
        <v>52</v>
      </c>
      <c r="N25" s="326"/>
      <c r="O25" s="327"/>
      <c r="P25" s="328"/>
      <c r="Q25" s="329">
        <f t="shared" si="14"/>
        <v>5749.829999999999</v>
      </c>
      <c r="R25" s="330">
        <f>SUM(R26,R35)</f>
        <v>5749.829999999999</v>
      </c>
      <c r="S25" s="331">
        <f t="shared" si="21"/>
        <v>0</v>
      </c>
      <c r="T25" s="339">
        <f>SUM(T26,T35)</f>
        <v>0</v>
      </c>
      <c r="U25" s="332">
        <f t="shared" si="23"/>
        <v>0</v>
      </c>
      <c r="V25" s="338">
        <f t="shared" si="24"/>
        <v>5749.829999999999</v>
      </c>
      <c r="W25" s="339">
        <f>SUM(W26,W35)</f>
        <v>0</v>
      </c>
      <c r="X25" s="340">
        <f t="shared" si="26"/>
        <v>5749.829999999999</v>
      </c>
      <c r="Y25" s="333"/>
      <c r="Z25" s="334"/>
      <c r="AA25" s="328"/>
      <c r="AB25" s="328"/>
      <c r="AC25" s="328"/>
      <c r="AD25" s="328"/>
      <c r="AE25" s="328"/>
      <c r="AF25" s="328"/>
      <c r="AG25" s="328"/>
      <c r="AH25" s="328"/>
      <c r="AI25" s="328"/>
      <c r="AJ25" s="328"/>
      <c r="AK25" s="335"/>
      <c r="AL25" s="334"/>
      <c r="AM25" s="328"/>
      <c r="AN25" s="328"/>
      <c r="AO25" s="328"/>
      <c r="AP25" s="328"/>
      <c r="AQ25" s="271"/>
      <c r="AR25" s="271"/>
      <c r="AS25" s="271"/>
      <c r="AT25" s="271"/>
      <c r="AU25" s="271"/>
      <c r="AV25" s="271"/>
      <c r="AW25" s="272"/>
      <c r="AX25" s="245"/>
      <c r="AY25" s="273">
        <v>0</v>
      </c>
      <c r="AZ25" s="274">
        <f t="shared" si="15"/>
        <v>0</v>
      </c>
      <c r="BA25" s="275">
        <v>0</v>
      </c>
      <c r="BB25" s="276" t="e">
        <f t="shared" ca="1" si="10"/>
        <v>#REF!</v>
      </c>
      <c r="BC25" s="277" t="e">
        <f t="shared" ca="1" si="16"/>
        <v>#REF!</v>
      </c>
      <c r="BD25" s="278" t="e">
        <f t="shared" ca="1" si="11"/>
        <v>#REF!</v>
      </c>
      <c r="BF25" s="770" t="e">
        <f t="shared" ca="1" si="17"/>
        <v>#REF!</v>
      </c>
      <c r="BG25" s="771"/>
      <c r="BH25" s="279" t="e">
        <f t="shared" ca="1" si="18"/>
        <v>#REF!</v>
      </c>
      <c r="BI25" s="772" t="e">
        <f t="shared" ca="1" si="19"/>
        <v>#REF!</v>
      </c>
      <c r="BJ25" s="773"/>
      <c r="BK25" s="774" t="e">
        <f ca="1">IF(BR25&gt;0,CHOOSE(MATCH(RegimeExecucao,{"Unitário","Global"},0),IF($A25="S",BR25/BN25,""),(BR25/BN25)*100),"")</f>
        <v>#REF!</v>
      </c>
      <c r="BL25" s="775"/>
      <c r="BM25" s="776"/>
      <c r="BN25" s="777" t="e">
        <f ca="1">IF(BR25&gt;0,CHOOSE(MATCH(RegimeExecucao,{"Unitário","Global"},0),IF($A25="S",ROUND(P25,arredunit),""),ROUND(R25,arredtot)),"")</f>
        <v>#REF!</v>
      </c>
      <c r="BO25" s="778"/>
      <c r="BP25" s="778"/>
      <c r="BQ25" s="779"/>
      <c r="BR25" s="777" t="e">
        <f t="shared" ca="1" si="1"/>
        <v>#REF!</v>
      </c>
      <c r="BS25" s="778"/>
      <c r="BT25" s="778"/>
      <c r="BU25" s="779"/>
      <c r="BV25" s="780"/>
      <c r="BW25" s="780"/>
      <c r="BX25" s="780"/>
      <c r="BY25" s="780"/>
      <c r="BZ25" s="780"/>
      <c r="CA25" s="781"/>
      <c r="CB25" s="245"/>
      <c r="CC25" s="245"/>
    </row>
    <row r="26" spans="1:81" s="222" customFormat="1" ht="13.8">
      <c r="A26" s="222">
        <f t="shared" si="12"/>
        <v>2</v>
      </c>
      <c r="B26" s="222">
        <f t="shared" ca="1" si="13"/>
        <v>9</v>
      </c>
      <c r="C26" s="222">
        <f t="shared" ca="1" si="2"/>
        <v>3</v>
      </c>
      <c r="D26" s="222">
        <f t="shared" ca="1" si="3"/>
        <v>1</v>
      </c>
      <c r="E26" s="222">
        <f t="shared" ca="1" si="4"/>
        <v>0</v>
      </c>
      <c r="F26" s="222">
        <f t="shared" ca="1" si="5"/>
        <v>0</v>
      </c>
      <c r="G26" s="222">
        <f t="shared" ca="1" si="6"/>
        <v>0</v>
      </c>
      <c r="H26" s="222">
        <f t="shared" ca="1" si="7"/>
        <v>12</v>
      </c>
      <c r="I26" s="222">
        <f t="shared" ca="1" si="8"/>
        <v>9</v>
      </c>
      <c r="J26" s="222">
        <f t="shared" si="9"/>
        <v>1</v>
      </c>
      <c r="K26" s="269" t="str">
        <f>CHOOSE(1+LOG(1+2*($J26=3)+4*($J26=2)+8*($J26=1)+16*(AND($L26&lt;&gt;"",$L26&lt;&gt;0,$J26=0))+32*OR($N26&lt;&gt;"",RegimeExecucao="Global",AND($L26="",$M26="",$N26="")),2),"","Nível 4","Nível 3","Nível 2","Meta","Serviço")</f>
        <v>Nível 2</v>
      </c>
      <c r="L26" s="336" t="s">
        <v>53</v>
      </c>
      <c r="M26" s="325" t="s">
        <v>54</v>
      </c>
      <c r="N26" s="326"/>
      <c r="O26" s="327"/>
      <c r="P26" s="328"/>
      <c r="Q26" s="329">
        <f t="shared" si="14"/>
        <v>4804.7679999999991</v>
      </c>
      <c r="R26" s="330">
        <f>SUM(R27:R34)</f>
        <v>4804.7679999999991</v>
      </c>
      <c r="S26" s="331">
        <f t="shared" si="21"/>
        <v>0</v>
      </c>
      <c r="T26" s="339">
        <f>SUM(T27:T34)</f>
        <v>0</v>
      </c>
      <c r="U26" s="332">
        <f t="shared" si="23"/>
        <v>0</v>
      </c>
      <c r="V26" s="338">
        <f t="shared" si="24"/>
        <v>4804.7679999999991</v>
      </c>
      <c r="W26" s="339">
        <f>SUM(W27:W34)</f>
        <v>0</v>
      </c>
      <c r="X26" s="340">
        <f t="shared" si="26"/>
        <v>4804.7679999999991</v>
      </c>
      <c r="Y26" s="333"/>
      <c r="Z26" s="334"/>
      <c r="AA26" s="328"/>
      <c r="AB26" s="328"/>
      <c r="AC26" s="328"/>
      <c r="AD26" s="328"/>
      <c r="AE26" s="328"/>
      <c r="AF26" s="328"/>
      <c r="AG26" s="328"/>
      <c r="AH26" s="328"/>
      <c r="AI26" s="328"/>
      <c r="AJ26" s="328"/>
      <c r="AK26" s="335"/>
      <c r="AL26" s="334"/>
      <c r="AM26" s="328"/>
      <c r="AN26" s="328"/>
      <c r="AO26" s="328"/>
      <c r="AP26" s="328"/>
      <c r="AQ26" s="271"/>
      <c r="AR26" s="271"/>
      <c r="AS26" s="271"/>
      <c r="AT26" s="271"/>
      <c r="AU26" s="271"/>
      <c r="AV26" s="271"/>
      <c r="AW26" s="272"/>
      <c r="AX26" s="245"/>
      <c r="AY26" s="273">
        <v>0</v>
      </c>
      <c r="AZ26" s="274">
        <f t="shared" si="15"/>
        <v>0</v>
      </c>
      <c r="BA26" s="275">
        <v>0</v>
      </c>
      <c r="BB26" s="276" t="e">
        <f t="shared" ca="1" si="10"/>
        <v>#REF!</v>
      </c>
      <c r="BC26" s="277" t="e">
        <f t="shared" ca="1" si="16"/>
        <v>#REF!</v>
      </c>
      <c r="BD26" s="278" t="e">
        <f t="shared" ca="1" si="11"/>
        <v>#REF!</v>
      </c>
      <c r="BF26" s="770" t="e">
        <f t="shared" ca="1" si="17"/>
        <v>#REF!</v>
      </c>
      <c r="BG26" s="771"/>
      <c r="BH26" s="279" t="e">
        <f t="shared" ca="1" si="18"/>
        <v>#REF!</v>
      </c>
      <c r="BI26" s="772" t="e">
        <f t="shared" ca="1" si="19"/>
        <v>#REF!</v>
      </c>
      <c r="BJ26" s="773"/>
      <c r="BK26" s="774" t="e">
        <f ca="1">IF(BR26&gt;0,CHOOSE(MATCH(RegimeExecucao,{"Unitário","Global"},0),IF($A26="S",BR26/BN26,""),(BR26/BN26)*100),"")</f>
        <v>#REF!</v>
      </c>
      <c r="BL26" s="775"/>
      <c r="BM26" s="776"/>
      <c r="BN26" s="777" t="e">
        <f ca="1">IF(BR26&gt;0,CHOOSE(MATCH(RegimeExecucao,{"Unitário","Global"},0),IF($A26="S",ROUND(P26,arredunit),""),ROUND(R26,arredtot)),"")</f>
        <v>#REF!</v>
      </c>
      <c r="BO26" s="778"/>
      <c r="BP26" s="778"/>
      <c r="BQ26" s="779"/>
      <c r="BR26" s="777" t="e">
        <f t="shared" ca="1" si="1"/>
        <v>#REF!</v>
      </c>
      <c r="BS26" s="778"/>
      <c r="BT26" s="778"/>
      <c r="BU26" s="779"/>
      <c r="BV26" s="780"/>
      <c r="BW26" s="780"/>
      <c r="BX26" s="780"/>
      <c r="BY26" s="780"/>
      <c r="BZ26" s="780"/>
      <c r="CA26" s="781"/>
      <c r="CB26" s="245"/>
      <c r="CC26" s="245"/>
    </row>
    <row r="27" spans="1:81" s="222" customFormat="1" ht="30" customHeight="1">
      <c r="A27" s="222" t="str">
        <f t="shared" si="12"/>
        <v>S</v>
      </c>
      <c r="B27" s="222">
        <f t="shared" si="13"/>
        <v>0</v>
      </c>
      <c r="C27" s="222">
        <f t="shared" ca="1" si="2"/>
        <v>3</v>
      </c>
      <c r="D27" s="222">
        <f t="shared" ca="1" si="3"/>
        <v>1</v>
      </c>
      <c r="E27" s="222">
        <f t="shared" ca="1" si="4"/>
        <v>0</v>
      </c>
      <c r="F27" s="222">
        <f t="shared" ca="1" si="5"/>
        <v>0</v>
      </c>
      <c r="G27" s="222">
        <f t="shared" ca="1" si="6"/>
        <v>1</v>
      </c>
      <c r="H27" s="222">
        <f t="shared" ca="1" si="7"/>
        <v>0</v>
      </c>
      <c r="I27" s="222">
        <f t="shared" ca="1" si="8"/>
        <v>0</v>
      </c>
      <c r="J27" s="222">
        <f t="shared" si="9"/>
        <v>2</v>
      </c>
      <c r="K27" s="269" t="s">
        <v>4</v>
      </c>
      <c r="L27" s="336" t="s">
        <v>55</v>
      </c>
      <c r="M27" s="325" t="s">
        <v>56</v>
      </c>
      <c r="N27" s="326" t="s">
        <v>49</v>
      </c>
      <c r="O27" s="327">
        <v>3.3</v>
      </c>
      <c r="P27" s="328">
        <v>82.16</v>
      </c>
      <c r="Q27" s="329">
        <f t="shared" si="14"/>
        <v>0</v>
      </c>
      <c r="R27" s="330">
        <f t="shared" si="20"/>
        <v>271.12799999999999</v>
      </c>
      <c r="S27" s="331">
        <f t="shared" si="21"/>
        <v>3.3</v>
      </c>
      <c r="T27" s="337">
        <f t="shared" si="22"/>
        <v>0</v>
      </c>
      <c r="U27" s="332">
        <f t="shared" si="23"/>
        <v>3.3</v>
      </c>
      <c r="V27" s="338">
        <f t="shared" si="24"/>
        <v>271.12799999999999</v>
      </c>
      <c r="W27" s="339">
        <f t="shared" si="25"/>
        <v>0</v>
      </c>
      <c r="X27" s="340">
        <f t="shared" si="26"/>
        <v>271.12799999999999</v>
      </c>
      <c r="Y27" s="333"/>
      <c r="Z27" s="334">
        <v>3.3</v>
      </c>
      <c r="AA27" s="328"/>
      <c r="AB27" s="328"/>
      <c r="AC27" s="328"/>
      <c r="AD27" s="328"/>
      <c r="AE27" s="328"/>
      <c r="AF27" s="328"/>
      <c r="AG27" s="328"/>
      <c r="AH27" s="328"/>
      <c r="AI27" s="328"/>
      <c r="AJ27" s="328"/>
      <c r="AK27" s="335"/>
      <c r="AL27" s="334"/>
      <c r="AM27" s="328"/>
      <c r="AN27" s="328"/>
      <c r="AO27" s="328"/>
      <c r="AP27" s="328"/>
      <c r="AQ27" s="271"/>
      <c r="AR27" s="271"/>
      <c r="AS27" s="271"/>
      <c r="AT27" s="271"/>
      <c r="AU27" s="271"/>
      <c r="AV27" s="271"/>
      <c r="AW27" s="272"/>
      <c r="AX27" s="245"/>
      <c r="AY27" s="273">
        <v>0</v>
      </c>
      <c r="AZ27" s="274">
        <f t="shared" si="15"/>
        <v>0</v>
      </c>
      <c r="BA27" s="275">
        <v>0</v>
      </c>
      <c r="BB27" s="276" t="e">
        <f t="shared" si="10"/>
        <v>#REF!</v>
      </c>
      <c r="BC27" s="277" t="e">
        <f t="shared" si="16"/>
        <v>#REF!</v>
      </c>
      <c r="BD27" s="278" t="e">
        <f t="shared" si="11"/>
        <v>#REF!</v>
      </c>
      <c r="BF27" s="770" t="e">
        <f t="shared" si="17"/>
        <v>#REF!</v>
      </c>
      <c r="BG27" s="771"/>
      <c r="BH27" s="279" t="e">
        <f t="shared" si="18"/>
        <v>#REF!</v>
      </c>
      <c r="BI27" s="772" t="e">
        <f t="shared" si="19"/>
        <v>#REF!</v>
      </c>
      <c r="BJ27" s="773"/>
      <c r="BK27" s="774" t="e">
        <f>IF(BR27&gt;0,CHOOSE(MATCH(RegimeExecucao,{"Unitário","Global"},0),IF($A27="S",BR27/BN27,""),(BR27/BN27)*100),"")</f>
        <v>#REF!</v>
      </c>
      <c r="BL27" s="775"/>
      <c r="BM27" s="776"/>
      <c r="BN27" s="777" t="e">
        <f>IF(BR27&gt;0,CHOOSE(MATCH(RegimeExecucao,{"Unitário","Global"},0),IF($A27="S",ROUND(P27,arredunit),""),ROUND(R27,arredtot)),"")</f>
        <v>#REF!</v>
      </c>
      <c r="BO27" s="778"/>
      <c r="BP27" s="778"/>
      <c r="BQ27" s="779"/>
      <c r="BR27" s="777" t="e">
        <f t="shared" si="1"/>
        <v>#REF!</v>
      </c>
      <c r="BS27" s="778"/>
      <c r="BT27" s="778"/>
      <c r="BU27" s="779"/>
      <c r="BV27" s="780"/>
      <c r="BW27" s="780"/>
      <c r="BX27" s="780"/>
      <c r="BY27" s="780"/>
      <c r="BZ27" s="780"/>
      <c r="CA27" s="781"/>
      <c r="CB27" s="245"/>
      <c r="CC27" s="245"/>
    </row>
    <row r="28" spans="1:81" s="222" customFormat="1" ht="45" customHeight="1">
      <c r="A28" s="222" t="str">
        <f t="shared" si="12"/>
        <v>S</v>
      </c>
      <c r="B28" s="222">
        <f t="shared" si="13"/>
        <v>0</v>
      </c>
      <c r="C28" s="222">
        <f t="shared" ca="1" si="2"/>
        <v>3</v>
      </c>
      <c r="D28" s="222">
        <f t="shared" ca="1" si="3"/>
        <v>1</v>
      </c>
      <c r="E28" s="222">
        <f t="shared" ca="1" si="4"/>
        <v>0</v>
      </c>
      <c r="F28" s="222">
        <f t="shared" ca="1" si="5"/>
        <v>0</v>
      </c>
      <c r="G28" s="222">
        <f t="shared" ca="1" si="6"/>
        <v>2</v>
      </c>
      <c r="H28" s="222">
        <f t="shared" ca="1" si="7"/>
        <v>0</v>
      </c>
      <c r="I28" s="222">
        <f t="shared" ca="1" si="8"/>
        <v>0</v>
      </c>
      <c r="J28" s="222">
        <f t="shared" si="9"/>
        <v>2</v>
      </c>
      <c r="K28" s="269" t="s">
        <v>4</v>
      </c>
      <c r="L28" s="336" t="s">
        <v>57</v>
      </c>
      <c r="M28" s="341" t="s">
        <v>58</v>
      </c>
      <c r="N28" s="326" t="s">
        <v>59</v>
      </c>
      <c r="O28" s="327">
        <v>28.000366837857662</v>
      </c>
      <c r="P28" s="328">
        <v>54.52</v>
      </c>
      <c r="Q28" s="329">
        <f t="shared" si="14"/>
        <v>0</v>
      </c>
      <c r="R28" s="330">
        <f t="shared" si="20"/>
        <v>1526.58</v>
      </c>
      <c r="S28" s="331">
        <f t="shared" si="21"/>
        <v>28</v>
      </c>
      <c r="T28" s="337">
        <f t="shared" si="22"/>
        <v>0</v>
      </c>
      <c r="U28" s="332">
        <f t="shared" si="23"/>
        <v>28</v>
      </c>
      <c r="V28" s="338">
        <f t="shared" si="24"/>
        <v>1526.58</v>
      </c>
      <c r="W28" s="339">
        <f t="shared" si="25"/>
        <v>0</v>
      </c>
      <c r="X28" s="340">
        <f t="shared" si="26"/>
        <v>1526.58</v>
      </c>
      <c r="Y28" s="333"/>
      <c r="Z28" s="334">
        <v>28</v>
      </c>
      <c r="AA28" s="328"/>
      <c r="AB28" s="328"/>
      <c r="AC28" s="328"/>
      <c r="AD28" s="328"/>
      <c r="AE28" s="328"/>
      <c r="AF28" s="328"/>
      <c r="AG28" s="328"/>
      <c r="AH28" s="328"/>
      <c r="AI28" s="328"/>
      <c r="AJ28" s="328"/>
      <c r="AK28" s="335"/>
      <c r="AL28" s="334"/>
      <c r="AM28" s="328"/>
      <c r="AN28" s="328"/>
      <c r="AO28" s="328"/>
      <c r="AP28" s="328"/>
      <c r="AQ28" s="271"/>
      <c r="AR28" s="271"/>
      <c r="AS28" s="271"/>
      <c r="AT28" s="271"/>
      <c r="AU28" s="271"/>
      <c r="AV28" s="271"/>
      <c r="AW28" s="272"/>
      <c r="AX28" s="245"/>
      <c r="AY28" s="273">
        <v>0</v>
      </c>
      <c r="AZ28" s="274">
        <f t="shared" si="15"/>
        <v>0</v>
      </c>
      <c r="BA28" s="275">
        <v>0</v>
      </c>
      <c r="BB28" s="276" t="e">
        <f t="shared" si="10"/>
        <v>#REF!</v>
      </c>
      <c r="BC28" s="277" t="e">
        <f t="shared" si="16"/>
        <v>#REF!</v>
      </c>
      <c r="BD28" s="278" t="e">
        <f t="shared" si="11"/>
        <v>#REF!</v>
      </c>
      <c r="BF28" s="770" t="e">
        <f t="shared" si="17"/>
        <v>#REF!</v>
      </c>
      <c r="BG28" s="771"/>
      <c r="BH28" s="279" t="e">
        <f t="shared" si="18"/>
        <v>#REF!</v>
      </c>
      <c r="BI28" s="772" t="e">
        <f t="shared" si="19"/>
        <v>#REF!</v>
      </c>
      <c r="BJ28" s="773"/>
      <c r="BK28" s="774" t="e">
        <f>IF(BR28&gt;0,CHOOSE(MATCH(RegimeExecucao,{"Unitário","Global"},0),IF($A28="S",BR28/BN28,""),(BR28/BN28)*100),"")</f>
        <v>#REF!</v>
      </c>
      <c r="BL28" s="775"/>
      <c r="BM28" s="776"/>
      <c r="BN28" s="777" t="e">
        <f>IF(BR28&gt;0,CHOOSE(MATCH(RegimeExecucao,{"Unitário","Global"},0),IF($A28="S",ROUND(P28,arredunit),""),ROUND(R28,arredtot)),"")</f>
        <v>#REF!</v>
      </c>
      <c r="BO28" s="778"/>
      <c r="BP28" s="778"/>
      <c r="BQ28" s="779"/>
      <c r="BR28" s="777" t="e">
        <f t="shared" si="1"/>
        <v>#REF!</v>
      </c>
      <c r="BS28" s="778"/>
      <c r="BT28" s="778"/>
      <c r="BU28" s="779"/>
      <c r="BV28" s="780"/>
      <c r="BW28" s="780"/>
      <c r="BX28" s="780"/>
      <c r="BY28" s="780"/>
      <c r="BZ28" s="780"/>
      <c r="CA28" s="781"/>
      <c r="CB28" s="245"/>
      <c r="CC28" s="245"/>
    </row>
    <row r="29" spans="1:81" s="222" customFormat="1" ht="43.8" customHeight="1">
      <c r="A29" s="222" t="str">
        <f t="shared" si="12"/>
        <v>S</v>
      </c>
      <c r="B29" s="222">
        <f t="shared" si="13"/>
        <v>0</v>
      </c>
      <c r="C29" s="222">
        <f t="shared" ca="1" si="2"/>
        <v>3</v>
      </c>
      <c r="D29" s="222">
        <f t="shared" ca="1" si="3"/>
        <v>1</v>
      </c>
      <c r="E29" s="222">
        <f t="shared" ca="1" si="4"/>
        <v>0</v>
      </c>
      <c r="F29" s="222">
        <f t="shared" ca="1" si="5"/>
        <v>0</v>
      </c>
      <c r="G29" s="222">
        <f t="shared" ca="1" si="6"/>
        <v>3</v>
      </c>
      <c r="H29" s="222">
        <f t="shared" ca="1" si="7"/>
        <v>0</v>
      </c>
      <c r="I29" s="222">
        <f t="shared" ca="1" si="8"/>
        <v>0</v>
      </c>
      <c r="J29" s="222">
        <f t="shared" si="9"/>
        <v>2</v>
      </c>
      <c r="K29" s="269" t="s">
        <v>4</v>
      </c>
      <c r="L29" s="336" t="s">
        <v>60</v>
      </c>
      <c r="M29" s="325" t="s">
        <v>61</v>
      </c>
      <c r="N29" s="326" t="s">
        <v>49</v>
      </c>
      <c r="O29" s="327">
        <v>0.4</v>
      </c>
      <c r="P29" s="328">
        <v>166.35</v>
      </c>
      <c r="Q29" s="329">
        <f t="shared" si="14"/>
        <v>0</v>
      </c>
      <c r="R29" s="330">
        <f t="shared" si="20"/>
        <v>66.540000000000006</v>
      </c>
      <c r="S29" s="331">
        <f t="shared" si="21"/>
        <v>0.4</v>
      </c>
      <c r="T29" s="337">
        <f t="shared" si="22"/>
        <v>0</v>
      </c>
      <c r="U29" s="332">
        <f t="shared" si="23"/>
        <v>0.4</v>
      </c>
      <c r="V29" s="338">
        <f t="shared" si="24"/>
        <v>66.540000000000006</v>
      </c>
      <c r="W29" s="339">
        <f t="shared" si="25"/>
        <v>0</v>
      </c>
      <c r="X29" s="340">
        <f t="shared" si="26"/>
        <v>66.540000000000006</v>
      </c>
      <c r="Y29" s="333"/>
      <c r="Z29" s="334">
        <v>0.4</v>
      </c>
      <c r="AA29" s="328"/>
      <c r="AB29" s="328"/>
      <c r="AC29" s="328"/>
      <c r="AD29" s="328"/>
      <c r="AE29" s="328"/>
      <c r="AF29" s="328"/>
      <c r="AG29" s="328"/>
      <c r="AH29" s="328"/>
      <c r="AI29" s="328"/>
      <c r="AJ29" s="328"/>
      <c r="AK29" s="335"/>
      <c r="AL29" s="334"/>
      <c r="AM29" s="328"/>
      <c r="AN29" s="328"/>
      <c r="AO29" s="328"/>
      <c r="AP29" s="328"/>
      <c r="AQ29" s="271"/>
      <c r="AR29" s="271"/>
      <c r="AS29" s="271"/>
      <c r="AT29" s="271"/>
      <c r="AU29" s="271"/>
      <c r="AV29" s="271"/>
      <c r="AW29" s="272"/>
      <c r="AX29" s="245"/>
      <c r="AY29" s="273">
        <v>0</v>
      </c>
      <c r="AZ29" s="274">
        <f t="shared" si="15"/>
        <v>0</v>
      </c>
      <c r="BA29" s="275">
        <v>0</v>
      </c>
      <c r="BB29" s="276" t="e">
        <f t="shared" si="10"/>
        <v>#REF!</v>
      </c>
      <c r="BC29" s="277" t="e">
        <f t="shared" si="16"/>
        <v>#REF!</v>
      </c>
      <c r="BD29" s="278" t="e">
        <f t="shared" si="11"/>
        <v>#REF!</v>
      </c>
      <c r="BF29" s="770" t="e">
        <f t="shared" si="17"/>
        <v>#REF!</v>
      </c>
      <c r="BG29" s="771"/>
      <c r="BH29" s="279" t="e">
        <f t="shared" si="18"/>
        <v>#REF!</v>
      </c>
      <c r="BI29" s="772" t="e">
        <f t="shared" si="19"/>
        <v>#REF!</v>
      </c>
      <c r="BJ29" s="773"/>
      <c r="BK29" s="774" t="e">
        <f>IF(BR29&gt;0,CHOOSE(MATCH(RegimeExecucao,{"Unitário","Global"},0),IF($A29="S",BR29/BN29,""),(BR29/BN29)*100),"")</f>
        <v>#REF!</v>
      </c>
      <c r="BL29" s="775"/>
      <c r="BM29" s="776"/>
      <c r="BN29" s="777" t="e">
        <f>IF(BR29&gt;0,CHOOSE(MATCH(RegimeExecucao,{"Unitário","Global"},0),IF($A29="S",ROUND(P29,arredunit),""),ROUND(R29,arredtot)),"")</f>
        <v>#REF!</v>
      </c>
      <c r="BO29" s="778"/>
      <c r="BP29" s="778"/>
      <c r="BQ29" s="779"/>
      <c r="BR29" s="777" t="e">
        <f t="shared" si="1"/>
        <v>#REF!</v>
      </c>
      <c r="BS29" s="778"/>
      <c r="BT29" s="778"/>
      <c r="BU29" s="779"/>
      <c r="BV29" s="780"/>
      <c r="BW29" s="780"/>
      <c r="BX29" s="780"/>
      <c r="BY29" s="780"/>
      <c r="BZ29" s="780"/>
      <c r="CA29" s="781"/>
      <c r="CB29" s="245"/>
      <c r="CC29" s="245"/>
    </row>
    <row r="30" spans="1:81" s="222" customFormat="1" ht="45" customHeight="1">
      <c r="A30" s="222" t="str">
        <f t="shared" si="12"/>
        <v>S</v>
      </c>
      <c r="B30" s="222">
        <f t="shared" si="13"/>
        <v>0</v>
      </c>
      <c r="C30" s="222">
        <f t="shared" ca="1" si="2"/>
        <v>3</v>
      </c>
      <c r="D30" s="222">
        <f t="shared" ca="1" si="3"/>
        <v>1</v>
      </c>
      <c r="E30" s="222">
        <f t="shared" ca="1" si="4"/>
        <v>0</v>
      </c>
      <c r="F30" s="222">
        <f t="shared" ca="1" si="5"/>
        <v>0</v>
      </c>
      <c r="G30" s="222">
        <f t="shared" ca="1" si="6"/>
        <v>4</v>
      </c>
      <c r="H30" s="222">
        <f t="shared" ca="1" si="7"/>
        <v>0</v>
      </c>
      <c r="I30" s="222">
        <f t="shared" ca="1" si="8"/>
        <v>0</v>
      </c>
      <c r="J30" s="222">
        <f t="shared" si="9"/>
        <v>2</v>
      </c>
      <c r="K30" s="269" t="s">
        <v>4</v>
      </c>
      <c r="L30" s="336" t="s">
        <v>62</v>
      </c>
      <c r="M30" s="325" t="s">
        <v>63</v>
      </c>
      <c r="N30" s="326" t="s">
        <v>43</v>
      </c>
      <c r="O30" s="327">
        <v>15.000404312668463</v>
      </c>
      <c r="P30" s="328">
        <v>74.2</v>
      </c>
      <c r="Q30" s="329">
        <f t="shared" si="14"/>
        <v>0</v>
      </c>
      <c r="R30" s="330">
        <f t="shared" si="20"/>
        <v>1113.03</v>
      </c>
      <c r="S30" s="331">
        <f t="shared" si="21"/>
        <v>15</v>
      </c>
      <c r="T30" s="337">
        <f t="shared" si="22"/>
        <v>0</v>
      </c>
      <c r="U30" s="332">
        <f t="shared" si="23"/>
        <v>15</v>
      </c>
      <c r="V30" s="338">
        <f t="shared" si="24"/>
        <v>1113.03</v>
      </c>
      <c r="W30" s="339">
        <f t="shared" si="25"/>
        <v>0</v>
      </c>
      <c r="X30" s="340">
        <f t="shared" si="26"/>
        <v>1113.03</v>
      </c>
      <c r="Y30" s="333"/>
      <c r="Z30" s="334">
        <v>15</v>
      </c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35"/>
      <c r="AL30" s="334"/>
      <c r="AM30" s="328"/>
      <c r="AN30" s="328"/>
      <c r="AO30" s="328"/>
      <c r="AP30" s="328"/>
      <c r="AQ30" s="271"/>
      <c r="AR30" s="271"/>
      <c r="AS30" s="271"/>
      <c r="AT30" s="271"/>
      <c r="AU30" s="271"/>
      <c r="AV30" s="271"/>
      <c r="AW30" s="272"/>
      <c r="AX30" s="245"/>
      <c r="AY30" s="273">
        <v>0</v>
      </c>
      <c r="AZ30" s="274">
        <f t="shared" si="15"/>
        <v>0</v>
      </c>
      <c r="BA30" s="275">
        <v>0</v>
      </c>
      <c r="BB30" s="276" t="e">
        <f t="shared" si="10"/>
        <v>#REF!</v>
      </c>
      <c r="BC30" s="277" t="e">
        <f t="shared" si="16"/>
        <v>#REF!</v>
      </c>
      <c r="BD30" s="278" t="e">
        <f t="shared" si="11"/>
        <v>#REF!</v>
      </c>
      <c r="BF30" s="770" t="e">
        <f t="shared" si="17"/>
        <v>#REF!</v>
      </c>
      <c r="BG30" s="771"/>
      <c r="BH30" s="279" t="e">
        <f t="shared" si="18"/>
        <v>#REF!</v>
      </c>
      <c r="BI30" s="772" t="e">
        <f t="shared" si="19"/>
        <v>#REF!</v>
      </c>
      <c r="BJ30" s="773"/>
      <c r="BK30" s="774" t="e">
        <f>IF(BR30&gt;0,CHOOSE(MATCH(RegimeExecucao,{"Unitário","Global"},0),IF($A30="S",BR30/BN30,""),(BR30/BN30)*100),"")</f>
        <v>#REF!</v>
      </c>
      <c r="BL30" s="775"/>
      <c r="BM30" s="776"/>
      <c r="BN30" s="777" t="e">
        <f>IF(BR30&gt;0,CHOOSE(MATCH(RegimeExecucao,{"Unitário","Global"},0),IF($A30="S",ROUND(P30,arredunit),""),ROUND(R30,arredtot)),"")</f>
        <v>#REF!</v>
      </c>
      <c r="BO30" s="778"/>
      <c r="BP30" s="778"/>
      <c r="BQ30" s="779"/>
      <c r="BR30" s="777" t="e">
        <f t="shared" si="1"/>
        <v>#REF!</v>
      </c>
      <c r="BS30" s="778"/>
      <c r="BT30" s="778"/>
      <c r="BU30" s="779"/>
      <c r="BV30" s="780"/>
      <c r="BW30" s="780"/>
      <c r="BX30" s="780"/>
      <c r="BY30" s="780"/>
      <c r="BZ30" s="780"/>
      <c r="CA30" s="781"/>
      <c r="CB30" s="245"/>
      <c r="CC30" s="245"/>
    </row>
    <row r="31" spans="1:81" s="222" customFormat="1" ht="29.4" customHeight="1">
      <c r="A31" s="222" t="str">
        <f t="shared" si="12"/>
        <v>S</v>
      </c>
      <c r="B31" s="222">
        <f t="shared" si="13"/>
        <v>0</v>
      </c>
      <c r="C31" s="222">
        <f t="shared" ca="1" si="2"/>
        <v>3</v>
      </c>
      <c r="D31" s="222">
        <f t="shared" ca="1" si="3"/>
        <v>1</v>
      </c>
      <c r="E31" s="222">
        <f t="shared" ca="1" si="4"/>
        <v>0</v>
      </c>
      <c r="F31" s="222">
        <f t="shared" ca="1" si="5"/>
        <v>0</v>
      </c>
      <c r="G31" s="222">
        <f t="shared" ca="1" si="6"/>
        <v>5</v>
      </c>
      <c r="H31" s="222">
        <f t="shared" ca="1" si="7"/>
        <v>0</v>
      </c>
      <c r="I31" s="222">
        <f t="shared" ca="1" si="8"/>
        <v>0</v>
      </c>
      <c r="J31" s="222">
        <f t="shared" si="9"/>
        <v>2</v>
      </c>
      <c r="K31" s="269" t="s">
        <v>4</v>
      </c>
      <c r="L31" s="336" t="s">
        <v>64</v>
      </c>
      <c r="M31" s="325" t="s">
        <v>65</v>
      </c>
      <c r="N31" s="326" t="s">
        <v>66</v>
      </c>
      <c r="O31" s="327">
        <v>100</v>
      </c>
      <c r="P31" s="328">
        <v>8.5698000000000008</v>
      </c>
      <c r="Q31" s="329">
        <f t="shared" si="14"/>
        <v>0</v>
      </c>
      <c r="R31" s="330">
        <f t="shared" si="20"/>
        <v>856.98</v>
      </c>
      <c r="S31" s="331">
        <f t="shared" si="21"/>
        <v>100</v>
      </c>
      <c r="T31" s="337">
        <f t="shared" si="22"/>
        <v>0</v>
      </c>
      <c r="U31" s="332">
        <f t="shared" si="23"/>
        <v>100</v>
      </c>
      <c r="V31" s="338">
        <f t="shared" si="24"/>
        <v>856.98</v>
      </c>
      <c r="W31" s="339">
        <f t="shared" si="25"/>
        <v>0</v>
      </c>
      <c r="X31" s="340">
        <f t="shared" si="26"/>
        <v>856.98</v>
      </c>
      <c r="Y31" s="333"/>
      <c r="Z31" s="334">
        <v>100</v>
      </c>
      <c r="AA31" s="328"/>
      <c r="AB31" s="328"/>
      <c r="AC31" s="328"/>
      <c r="AD31" s="328"/>
      <c r="AE31" s="328"/>
      <c r="AF31" s="328"/>
      <c r="AG31" s="328"/>
      <c r="AH31" s="328"/>
      <c r="AI31" s="328"/>
      <c r="AJ31" s="328"/>
      <c r="AK31" s="335"/>
      <c r="AL31" s="334"/>
      <c r="AM31" s="328"/>
      <c r="AN31" s="328"/>
      <c r="AO31" s="328"/>
      <c r="AP31" s="328"/>
      <c r="AQ31" s="271"/>
      <c r="AR31" s="271"/>
      <c r="AS31" s="271"/>
      <c r="AT31" s="271"/>
      <c r="AU31" s="271"/>
      <c r="AV31" s="271"/>
      <c r="AW31" s="272"/>
      <c r="AX31" s="245"/>
      <c r="AY31" s="273">
        <v>0</v>
      </c>
      <c r="AZ31" s="274">
        <f t="shared" si="15"/>
        <v>0</v>
      </c>
      <c r="BA31" s="275">
        <v>0</v>
      </c>
      <c r="BB31" s="276" t="e">
        <f t="shared" si="10"/>
        <v>#REF!</v>
      </c>
      <c r="BC31" s="277" t="e">
        <f t="shared" si="16"/>
        <v>#REF!</v>
      </c>
      <c r="BD31" s="278" t="e">
        <f t="shared" si="11"/>
        <v>#REF!</v>
      </c>
      <c r="BF31" s="770" t="e">
        <f t="shared" si="17"/>
        <v>#REF!</v>
      </c>
      <c r="BG31" s="771"/>
      <c r="BH31" s="279" t="e">
        <f t="shared" si="18"/>
        <v>#REF!</v>
      </c>
      <c r="BI31" s="772" t="e">
        <f t="shared" si="19"/>
        <v>#REF!</v>
      </c>
      <c r="BJ31" s="773"/>
      <c r="BK31" s="774" t="e">
        <f>IF(BR31&gt;0,CHOOSE(MATCH(RegimeExecucao,{"Unitário","Global"},0),IF($A31="S",BR31/BN31,""),(BR31/BN31)*100),"")</f>
        <v>#REF!</v>
      </c>
      <c r="BL31" s="775"/>
      <c r="BM31" s="776"/>
      <c r="BN31" s="777" t="e">
        <f>IF(BR31&gt;0,CHOOSE(MATCH(RegimeExecucao,{"Unitário","Global"},0),IF($A31="S",ROUND(P31,arredunit),""),ROUND(R31,arredtot)),"")</f>
        <v>#REF!</v>
      </c>
      <c r="BO31" s="778"/>
      <c r="BP31" s="778"/>
      <c r="BQ31" s="779"/>
      <c r="BR31" s="777" t="e">
        <f t="shared" si="1"/>
        <v>#REF!</v>
      </c>
      <c r="BS31" s="778"/>
      <c r="BT31" s="778"/>
      <c r="BU31" s="779"/>
      <c r="BV31" s="780"/>
      <c r="BW31" s="780"/>
      <c r="BX31" s="780"/>
      <c r="BY31" s="780"/>
      <c r="BZ31" s="780"/>
      <c r="CA31" s="781"/>
      <c r="CB31" s="245"/>
      <c r="CC31" s="245"/>
    </row>
    <row r="32" spans="1:81" s="222" customFormat="1" ht="30" customHeight="1">
      <c r="A32" s="222" t="str">
        <f t="shared" si="12"/>
        <v>S</v>
      </c>
      <c r="B32" s="222">
        <f t="shared" si="13"/>
        <v>0</v>
      </c>
      <c r="C32" s="222">
        <f t="shared" ca="1" si="2"/>
        <v>3</v>
      </c>
      <c r="D32" s="222">
        <f t="shared" ca="1" si="3"/>
        <v>1</v>
      </c>
      <c r="E32" s="222">
        <f t="shared" ca="1" si="4"/>
        <v>0</v>
      </c>
      <c r="F32" s="222">
        <f t="shared" ca="1" si="5"/>
        <v>0</v>
      </c>
      <c r="G32" s="222">
        <f t="shared" ca="1" si="6"/>
        <v>6</v>
      </c>
      <c r="H32" s="222">
        <f t="shared" ca="1" si="7"/>
        <v>0</v>
      </c>
      <c r="I32" s="222">
        <f t="shared" ca="1" si="8"/>
        <v>0</v>
      </c>
      <c r="J32" s="222">
        <f t="shared" si="9"/>
        <v>2</v>
      </c>
      <c r="K32" s="269" t="s">
        <v>4</v>
      </c>
      <c r="L32" s="336" t="s">
        <v>67</v>
      </c>
      <c r="M32" s="325" t="s">
        <v>68</v>
      </c>
      <c r="N32" s="326" t="s">
        <v>66</v>
      </c>
      <c r="O32" s="327">
        <v>26</v>
      </c>
      <c r="P32" s="328">
        <v>13.549615384615386</v>
      </c>
      <c r="Q32" s="329">
        <f t="shared" si="14"/>
        <v>0</v>
      </c>
      <c r="R32" s="330">
        <f t="shared" si="20"/>
        <v>352.29</v>
      </c>
      <c r="S32" s="331">
        <f t="shared" si="21"/>
        <v>26</v>
      </c>
      <c r="T32" s="337">
        <f t="shared" si="22"/>
        <v>0</v>
      </c>
      <c r="U32" s="332">
        <f t="shared" si="23"/>
        <v>26</v>
      </c>
      <c r="V32" s="338">
        <f t="shared" si="24"/>
        <v>352.29</v>
      </c>
      <c r="W32" s="339">
        <f t="shared" si="25"/>
        <v>0</v>
      </c>
      <c r="X32" s="340">
        <f t="shared" si="26"/>
        <v>352.29</v>
      </c>
      <c r="Y32" s="333"/>
      <c r="Z32" s="334">
        <v>26</v>
      </c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35"/>
      <c r="AL32" s="334"/>
      <c r="AM32" s="328"/>
      <c r="AN32" s="328"/>
      <c r="AO32" s="328"/>
      <c r="AP32" s="328"/>
      <c r="AQ32" s="271"/>
      <c r="AR32" s="271"/>
      <c r="AS32" s="271"/>
      <c r="AT32" s="271"/>
      <c r="AU32" s="271"/>
      <c r="AV32" s="271"/>
      <c r="AW32" s="272"/>
      <c r="AX32" s="245"/>
      <c r="AY32" s="273">
        <v>0</v>
      </c>
      <c r="AZ32" s="274">
        <f t="shared" si="15"/>
        <v>0</v>
      </c>
      <c r="BA32" s="275">
        <v>0</v>
      </c>
      <c r="BB32" s="276" t="e">
        <f t="shared" si="10"/>
        <v>#REF!</v>
      </c>
      <c r="BC32" s="277" t="e">
        <f t="shared" si="16"/>
        <v>#REF!</v>
      </c>
      <c r="BD32" s="278" t="e">
        <f t="shared" si="11"/>
        <v>#REF!</v>
      </c>
      <c r="BF32" s="770" t="e">
        <f t="shared" si="17"/>
        <v>#REF!</v>
      </c>
      <c r="BG32" s="771"/>
      <c r="BH32" s="279" t="e">
        <f t="shared" si="18"/>
        <v>#REF!</v>
      </c>
      <c r="BI32" s="772" t="e">
        <f t="shared" si="19"/>
        <v>#REF!</v>
      </c>
      <c r="BJ32" s="773"/>
      <c r="BK32" s="774" t="e">
        <f>IF(BR32&gt;0,CHOOSE(MATCH(RegimeExecucao,{"Unitário","Global"},0),IF($A32="S",BR32/BN32,""),(BR32/BN32)*100),"")</f>
        <v>#REF!</v>
      </c>
      <c r="BL32" s="775"/>
      <c r="BM32" s="776"/>
      <c r="BN32" s="777" t="e">
        <f>IF(BR32&gt;0,CHOOSE(MATCH(RegimeExecucao,{"Unitário","Global"},0),IF($A32="S",ROUND(P32,arredunit),""),ROUND(R32,arredtot)),"")</f>
        <v>#REF!</v>
      </c>
      <c r="BO32" s="778"/>
      <c r="BP32" s="778"/>
      <c r="BQ32" s="779"/>
      <c r="BR32" s="777" t="e">
        <f t="shared" si="1"/>
        <v>#REF!</v>
      </c>
      <c r="BS32" s="778"/>
      <c r="BT32" s="778"/>
      <c r="BU32" s="779"/>
      <c r="BV32" s="780"/>
      <c r="BW32" s="780"/>
      <c r="BX32" s="780"/>
      <c r="BY32" s="780"/>
      <c r="BZ32" s="780"/>
      <c r="CA32" s="781"/>
      <c r="CB32" s="245"/>
      <c r="CC32" s="245"/>
    </row>
    <row r="33" spans="1:81" s="222" customFormat="1" ht="42.6" customHeight="1">
      <c r="A33" s="222" t="str">
        <f t="shared" si="12"/>
        <v>S</v>
      </c>
      <c r="B33" s="222">
        <f t="shared" si="13"/>
        <v>0</v>
      </c>
      <c r="C33" s="222">
        <f t="shared" ca="1" si="2"/>
        <v>3</v>
      </c>
      <c r="D33" s="222">
        <f t="shared" ca="1" si="3"/>
        <v>1</v>
      </c>
      <c r="E33" s="222">
        <f t="shared" ca="1" si="4"/>
        <v>0</v>
      </c>
      <c r="F33" s="222">
        <f t="shared" ca="1" si="5"/>
        <v>0</v>
      </c>
      <c r="G33" s="222">
        <f t="shared" ca="1" si="6"/>
        <v>7</v>
      </c>
      <c r="H33" s="222">
        <f t="shared" ca="1" si="7"/>
        <v>0</v>
      </c>
      <c r="I33" s="222">
        <f t="shared" ca="1" si="8"/>
        <v>0</v>
      </c>
      <c r="J33" s="222">
        <f t="shared" si="9"/>
        <v>2</v>
      </c>
      <c r="K33" s="269" t="s">
        <v>4</v>
      </c>
      <c r="L33" s="336" t="s">
        <v>69</v>
      </c>
      <c r="M33" s="325" t="s">
        <v>70</v>
      </c>
      <c r="N33" s="326" t="s">
        <v>49</v>
      </c>
      <c r="O33" s="327">
        <v>1.5000262977962446</v>
      </c>
      <c r="P33" s="328">
        <v>380.26</v>
      </c>
      <c r="Q33" s="329">
        <f t="shared" si="14"/>
        <v>0</v>
      </c>
      <c r="R33" s="330">
        <f t="shared" si="20"/>
        <v>570.4</v>
      </c>
      <c r="S33" s="331">
        <f t="shared" si="21"/>
        <v>1.5</v>
      </c>
      <c r="T33" s="337">
        <f t="shared" si="22"/>
        <v>0</v>
      </c>
      <c r="U33" s="332">
        <f t="shared" si="23"/>
        <v>1.5</v>
      </c>
      <c r="V33" s="338">
        <f t="shared" si="24"/>
        <v>570.4</v>
      </c>
      <c r="W33" s="339">
        <f t="shared" si="25"/>
        <v>0</v>
      </c>
      <c r="X33" s="340">
        <f t="shared" si="26"/>
        <v>570.4</v>
      </c>
      <c r="Y33" s="333"/>
      <c r="Z33" s="334">
        <v>1.5</v>
      </c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35"/>
      <c r="AL33" s="334"/>
      <c r="AM33" s="328"/>
      <c r="AN33" s="328"/>
      <c r="AO33" s="328"/>
      <c r="AP33" s="328"/>
      <c r="AQ33" s="271"/>
      <c r="AR33" s="271"/>
      <c r="AS33" s="271"/>
      <c r="AT33" s="271"/>
      <c r="AU33" s="271"/>
      <c r="AV33" s="271"/>
      <c r="AW33" s="272"/>
      <c r="AX33" s="245"/>
      <c r="AY33" s="273">
        <v>0</v>
      </c>
      <c r="AZ33" s="274">
        <f t="shared" si="15"/>
        <v>0</v>
      </c>
      <c r="BA33" s="275">
        <v>0</v>
      </c>
      <c r="BB33" s="276" t="e">
        <f t="shared" si="10"/>
        <v>#REF!</v>
      </c>
      <c r="BC33" s="277" t="e">
        <f t="shared" si="16"/>
        <v>#REF!</v>
      </c>
      <c r="BD33" s="278" t="e">
        <f t="shared" si="11"/>
        <v>#REF!</v>
      </c>
      <c r="BF33" s="770" t="e">
        <f t="shared" si="17"/>
        <v>#REF!</v>
      </c>
      <c r="BG33" s="771"/>
      <c r="BH33" s="279" t="e">
        <f t="shared" si="18"/>
        <v>#REF!</v>
      </c>
      <c r="BI33" s="772" t="e">
        <f t="shared" si="19"/>
        <v>#REF!</v>
      </c>
      <c r="BJ33" s="773"/>
      <c r="BK33" s="774" t="e">
        <f>IF(BR33&gt;0,CHOOSE(MATCH(RegimeExecucao,{"Unitário","Global"},0),IF($A33="S",BR33/BN33,""),(BR33/BN33)*100),"")</f>
        <v>#REF!</v>
      </c>
      <c r="BL33" s="775"/>
      <c r="BM33" s="776"/>
      <c r="BN33" s="777" t="e">
        <f>IF(BR33&gt;0,CHOOSE(MATCH(RegimeExecucao,{"Unitário","Global"},0),IF($A33="S",ROUND(P33,arredunit),""),ROUND(R33,arredtot)),"")</f>
        <v>#REF!</v>
      </c>
      <c r="BO33" s="778"/>
      <c r="BP33" s="778"/>
      <c r="BQ33" s="779"/>
      <c r="BR33" s="777" t="e">
        <f t="shared" si="1"/>
        <v>#REF!</v>
      </c>
      <c r="BS33" s="778"/>
      <c r="BT33" s="778"/>
      <c r="BU33" s="779"/>
      <c r="BV33" s="780"/>
      <c r="BW33" s="780"/>
      <c r="BX33" s="780"/>
      <c r="BY33" s="780"/>
      <c r="BZ33" s="780"/>
      <c r="CA33" s="781"/>
      <c r="CB33" s="245"/>
      <c r="CC33" s="245"/>
    </row>
    <row r="34" spans="1:81" s="222" customFormat="1" ht="30" customHeight="1">
      <c r="A34" s="222" t="str">
        <f t="shared" si="12"/>
        <v>S</v>
      </c>
      <c r="B34" s="222">
        <f t="shared" si="13"/>
        <v>0</v>
      </c>
      <c r="C34" s="222">
        <f t="shared" ca="1" si="2"/>
        <v>3</v>
      </c>
      <c r="D34" s="222">
        <f t="shared" ca="1" si="3"/>
        <v>1</v>
      </c>
      <c r="E34" s="222">
        <f t="shared" ca="1" si="4"/>
        <v>0</v>
      </c>
      <c r="F34" s="222">
        <f t="shared" ca="1" si="5"/>
        <v>0</v>
      </c>
      <c r="G34" s="222">
        <f t="shared" ca="1" si="6"/>
        <v>8</v>
      </c>
      <c r="H34" s="222">
        <f t="shared" ca="1" si="7"/>
        <v>0</v>
      </c>
      <c r="I34" s="222">
        <f t="shared" ca="1" si="8"/>
        <v>0</v>
      </c>
      <c r="J34" s="222">
        <f t="shared" si="9"/>
        <v>2</v>
      </c>
      <c r="K34" s="269" t="s">
        <v>4</v>
      </c>
      <c r="L34" s="336" t="s">
        <v>71</v>
      </c>
      <c r="M34" s="325" t="s">
        <v>72</v>
      </c>
      <c r="N34" s="326" t="s">
        <v>49</v>
      </c>
      <c r="O34" s="327">
        <v>1.5</v>
      </c>
      <c r="P34" s="328">
        <v>31.88</v>
      </c>
      <c r="Q34" s="329">
        <f t="shared" si="14"/>
        <v>0</v>
      </c>
      <c r="R34" s="330">
        <f t="shared" si="20"/>
        <v>47.82</v>
      </c>
      <c r="S34" s="331">
        <f t="shared" si="21"/>
        <v>1.5</v>
      </c>
      <c r="T34" s="337">
        <f t="shared" si="22"/>
        <v>0</v>
      </c>
      <c r="U34" s="332">
        <f t="shared" si="23"/>
        <v>1.5</v>
      </c>
      <c r="V34" s="338">
        <f t="shared" si="24"/>
        <v>47.82</v>
      </c>
      <c r="W34" s="339">
        <f t="shared" si="25"/>
        <v>0</v>
      </c>
      <c r="X34" s="340">
        <f t="shared" si="26"/>
        <v>47.82</v>
      </c>
      <c r="Y34" s="333"/>
      <c r="Z34" s="334">
        <v>1.5</v>
      </c>
      <c r="AA34" s="328"/>
      <c r="AB34" s="328"/>
      <c r="AC34" s="328"/>
      <c r="AD34" s="328"/>
      <c r="AE34" s="328"/>
      <c r="AF34" s="328"/>
      <c r="AG34" s="328"/>
      <c r="AH34" s="328"/>
      <c r="AI34" s="328"/>
      <c r="AJ34" s="328"/>
      <c r="AK34" s="335"/>
      <c r="AL34" s="334"/>
      <c r="AM34" s="328"/>
      <c r="AN34" s="328"/>
      <c r="AO34" s="328"/>
      <c r="AP34" s="328"/>
      <c r="AQ34" s="271"/>
      <c r="AR34" s="271"/>
      <c r="AS34" s="271"/>
      <c r="AT34" s="271"/>
      <c r="AU34" s="271"/>
      <c r="AV34" s="271"/>
      <c r="AW34" s="272"/>
      <c r="AX34" s="245"/>
      <c r="AY34" s="273">
        <v>0</v>
      </c>
      <c r="AZ34" s="274">
        <f t="shared" si="15"/>
        <v>0</v>
      </c>
      <c r="BA34" s="275">
        <v>0</v>
      </c>
      <c r="BB34" s="276" t="e">
        <f t="shared" si="10"/>
        <v>#REF!</v>
      </c>
      <c r="BC34" s="277" t="e">
        <f t="shared" si="16"/>
        <v>#REF!</v>
      </c>
      <c r="BD34" s="278" t="e">
        <f t="shared" si="11"/>
        <v>#REF!</v>
      </c>
      <c r="BF34" s="770" t="e">
        <f t="shared" si="17"/>
        <v>#REF!</v>
      </c>
      <c r="BG34" s="771"/>
      <c r="BH34" s="279" t="e">
        <f t="shared" si="18"/>
        <v>#REF!</v>
      </c>
      <c r="BI34" s="772" t="e">
        <f t="shared" si="19"/>
        <v>#REF!</v>
      </c>
      <c r="BJ34" s="773"/>
      <c r="BK34" s="774" t="e">
        <f>IF(BR34&gt;0,CHOOSE(MATCH(RegimeExecucao,{"Unitário","Global"},0),IF($A34="S",BR34/BN34,""),(BR34/BN34)*100),"")</f>
        <v>#REF!</v>
      </c>
      <c r="BL34" s="775"/>
      <c r="BM34" s="776"/>
      <c r="BN34" s="777" t="e">
        <f>IF(BR34&gt;0,CHOOSE(MATCH(RegimeExecucao,{"Unitário","Global"},0),IF($A34="S",ROUND(P34,arredunit),""),ROUND(R34,arredtot)),"")</f>
        <v>#REF!</v>
      </c>
      <c r="BO34" s="778"/>
      <c r="BP34" s="778"/>
      <c r="BQ34" s="779"/>
      <c r="BR34" s="777" t="e">
        <f t="shared" si="1"/>
        <v>#REF!</v>
      </c>
      <c r="BS34" s="778"/>
      <c r="BT34" s="778"/>
      <c r="BU34" s="779"/>
      <c r="BV34" s="780"/>
      <c r="BW34" s="780"/>
      <c r="BX34" s="780"/>
      <c r="BY34" s="780"/>
      <c r="BZ34" s="780"/>
      <c r="CA34" s="781"/>
      <c r="CB34" s="245"/>
      <c r="CC34" s="245"/>
    </row>
    <row r="35" spans="1:81" s="222" customFormat="1" ht="13.8">
      <c r="A35" s="222">
        <f t="shared" si="12"/>
        <v>2</v>
      </c>
      <c r="B35" s="222">
        <f t="shared" ca="1" si="13"/>
        <v>3</v>
      </c>
      <c r="C35" s="222">
        <f t="shared" ca="1" si="2"/>
        <v>3</v>
      </c>
      <c r="D35" s="222">
        <f t="shared" ca="1" si="3"/>
        <v>2</v>
      </c>
      <c r="E35" s="222">
        <f t="shared" ca="1" si="4"/>
        <v>0</v>
      </c>
      <c r="F35" s="222">
        <f t="shared" ca="1" si="5"/>
        <v>0</v>
      </c>
      <c r="G35" s="222">
        <f t="shared" ca="1" si="6"/>
        <v>0</v>
      </c>
      <c r="H35" s="222">
        <f t="shared" ca="1" si="7"/>
        <v>3</v>
      </c>
      <c r="I35" s="222" t="e">
        <f t="shared" ca="1" si="8"/>
        <v>#N/A</v>
      </c>
      <c r="J35" s="222">
        <f t="shared" si="9"/>
        <v>1</v>
      </c>
      <c r="K35" s="269" t="str">
        <f>CHOOSE(1+LOG(1+2*($J35=3)+4*($J35=2)+8*($J35=1)+16*(AND($L35&lt;&gt;"",$L35&lt;&gt;0,$J35=0))+32*OR($N35&lt;&gt;"",RegimeExecucao="Global",AND($L35="",$M35="",$N35="")),2),"","Nível 4","Nível 3","Nível 2","Meta","Serviço")</f>
        <v>Nível 2</v>
      </c>
      <c r="L35" s="336" t="s">
        <v>73</v>
      </c>
      <c r="M35" s="325" t="s">
        <v>74</v>
      </c>
      <c r="N35" s="326"/>
      <c r="O35" s="327"/>
      <c r="P35" s="328"/>
      <c r="Q35" s="329">
        <f t="shared" si="14"/>
        <v>945.0619999999999</v>
      </c>
      <c r="R35" s="330">
        <f>SUM(R36:R37)</f>
        <v>945.0619999999999</v>
      </c>
      <c r="S35" s="331">
        <f t="shared" si="21"/>
        <v>0</v>
      </c>
      <c r="T35" s="339">
        <f>SUM(T36:T37)</f>
        <v>0</v>
      </c>
      <c r="U35" s="332">
        <f t="shared" si="23"/>
        <v>0</v>
      </c>
      <c r="V35" s="338">
        <f t="shared" si="24"/>
        <v>945.0619999999999</v>
      </c>
      <c r="W35" s="339">
        <f>SUM(W36:W37)</f>
        <v>0</v>
      </c>
      <c r="X35" s="340">
        <f t="shared" si="26"/>
        <v>945.0619999999999</v>
      </c>
      <c r="Y35" s="333"/>
      <c r="Z35" s="334"/>
      <c r="AA35" s="328"/>
      <c r="AB35" s="328"/>
      <c r="AC35" s="328"/>
      <c r="AD35" s="328"/>
      <c r="AE35" s="328"/>
      <c r="AF35" s="328"/>
      <c r="AG35" s="328"/>
      <c r="AH35" s="328"/>
      <c r="AI35" s="328"/>
      <c r="AJ35" s="328"/>
      <c r="AK35" s="335"/>
      <c r="AL35" s="334"/>
      <c r="AM35" s="328"/>
      <c r="AN35" s="328"/>
      <c r="AO35" s="328"/>
      <c r="AP35" s="328"/>
      <c r="AQ35" s="271"/>
      <c r="AR35" s="271"/>
      <c r="AS35" s="271"/>
      <c r="AT35" s="271"/>
      <c r="AU35" s="271"/>
      <c r="AV35" s="271"/>
      <c r="AW35" s="272"/>
      <c r="AX35" s="245"/>
      <c r="AY35" s="273">
        <v>0</v>
      </c>
      <c r="AZ35" s="274">
        <f t="shared" si="15"/>
        <v>0</v>
      </c>
      <c r="BA35" s="275">
        <v>0</v>
      </c>
      <c r="BB35" s="276" t="e">
        <f t="shared" ca="1" si="10"/>
        <v>#REF!</v>
      </c>
      <c r="BC35" s="277" t="e">
        <f t="shared" ca="1" si="16"/>
        <v>#REF!</v>
      </c>
      <c r="BD35" s="278" t="e">
        <f t="shared" ca="1" si="11"/>
        <v>#REF!</v>
      </c>
      <c r="BF35" s="770" t="e">
        <f t="shared" ca="1" si="17"/>
        <v>#REF!</v>
      </c>
      <c r="BG35" s="771"/>
      <c r="BH35" s="279" t="e">
        <f t="shared" ca="1" si="18"/>
        <v>#REF!</v>
      </c>
      <c r="BI35" s="772" t="e">
        <f t="shared" ca="1" si="19"/>
        <v>#REF!</v>
      </c>
      <c r="BJ35" s="773"/>
      <c r="BK35" s="774" t="e">
        <f ca="1">IF(BR35&gt;0,CHOOSE(MATCH(RegimeExecucao,{"Unitário","Global"},0),IF($A35="S",BR35/BN35,""),(BR35/BN35)*100),"")</f>
        <v>#REF!</v>
      </c>
      <c r="BL35" s="775"/>
      <c r="BM35" s="776"/>
      <c r="BN35" s="777" t="e">
        <f ca="1">IF(BR35&gt;0,CHOOSE(MATCH(RegimeExecucao,{"Unitário","Global"},0),IF($A35="S",ROUND(P35,arredunit),""),ROUND(R35,arredtot)),"")</f>
        <v>#REF!</v>
      </c>
      <c r="BO35" s="778"/>
      <c r="BP35" s="778"/>
      <c r="BQ35" s="779"/>
      <c r="BR35" s="777" t="e">
        <f t="shared" ca="1" si="1"/>
        <v>#REF!</v>
      </c>
      <c r="BS35" s="778"/>
      <c r="BT35" s="778"/>
      <c r="BU35" s="779"/>
      <c r="BV35" s="780"/>
      <c r="BW35" s="780"/>
      <c r="BX35" s="780"/>
      <c r="BY35" s="780"/>
      <c r="BZ35" s="780"/>
      <c r="CA35" s="781"/>
      <c r="CB35" s="245"/>
      <c r="CC35" s="245"/>
    </row>
    <row r="36" spans="1:81" s="222" customFormat="1" ht="43.2" customHeight="1">
      <c r="A36" s="222" t="str">
        <f t="shared" si="12"/>
        <v>S</v>
      </c>
      <c r="B36" s="222">
        <f t="shared" si="13"/>
        <v>0</v>
      </c>
      <c r="C36" s="222">
        <f t="shared" ca="1" si="2"/>
        <v>3</v>
      </c>
      <c r="D36" s="222">
        <f t="shared" ca="1" si="3"/>
        <v>2</v>
      </c>
      <c r="E36" s="222">
        <f t="shared" ca="1" si="4"/>
        <v>0</v>
      </c>
      <c r="F36" s="222">
        <f t="shared" ca="1" si="5"/>
        <v>0</v>
      </c>
      <c r="G36" s="222">
        <f t="shared" ca="1" si="6"/>
        <v>1</v>
      </c>
      <c r="H36" s="222">
        <f t="shared" ca="1" si="7"/>
        <v>0</v>
      </c>
      <c r="I36" s="222">
        <f t="shared" ca="1" si="8"/>
        <v>0</v>
      </c>
      <c r="J36" s="222">
        <f t="shared" si="9"/>
        <v>2</v>
      </c>
      <c r="K36" s="269" t="s">
        <v>4</v>
      </c>
      <c r="L36" s="336" t="s">
        <v>75</v>
      </c>
      <c r="M36" s="325" t="s">
        <v>76</v>
      </c>
      <c r="N36" s="326" t="s">
        <v>49</v>
      </c>
      <c r="O36" s="327">
        <v>0.9</v>
      </c>
      <c r="P36" s="328">
        <v>643.17999999999995</v>
      </c>
      <c r="Q36" s="329">
        <f t="shared" si="14"/>
        <v>0</v>
      </c>
      <c r="R36" s="330">
        <f t="shared" si="20"/>
        <v>578.86199999999997</v>
      </c>
      <c r="S36" s="331">
        <f t="shared" si="21"/>
        <v>0.9</v>
      </c>
      <c r="T36" s="337">
        <f t="shared" si="22"/>
        <v>0</v>
      </c>
      <c r="U36" s="332">
        <f t="shared" si="23"/>
        <v>0.9</v>
      </c>
      <c r="V36" s="338">
        <f t="shared" si="24"/>
        <v>578.86199999999997</v>
      </c>
      <c r="W36" s="339">
        <f t="shared" si="25"/>
        <v>0</v>
      </c>
      <c r="X36" s="340">
        <f t="shared" si="26"/>
        <v>578.86199999999997</v>
      </c>
      <c r="Y36" s="333"/>
      <c r="Z36" s="334">
        <v>0.9</v>
      </c>
      <c r="AA36" s="328"/>
      <c r="AB36" s="328"/>
      <c r="AC36" s="328"/>
      <c r="AD36" s="328"/>
      <c r="AE36" s="328"/>
      <c r="AF36" s="328"/>
      <c r="AG36" s="328"/>
      <c r="AH36" s="328"/>
      <c r="AI36" s="328"/>
      <c r="AJ36" s="328"/>
      <c r="AK36" s="335"/>
      <c r="AL36" s="334"/>
      <c r="AM36" s="328"/>
      <c r="AN36" s="328"/>
      <c r="AO36" s="328"/>
      <c r="AP36" s="328"/>
      <c r="AQ36" s="271"/>
      <c r="AR36" s="271"/>
      <c r="AS36" s="271"/>
      <c r="AT36" s="271"/>
      <c r="AU36" s="271"/>
      <c r="AV36" s="271"/>
      <c r="AW36" s="272"/>
      <c r="AX36" s="245"/>
      <c r="AY36" s="273">
        <v>0</v>
      </c>
      <c r="AZ36" s="274">
        <f t="shared" si="15"/>
        <v>0</v>
      </c>
      <c r="BA36" s="275">
        <v>0</v>
      </c>
      <c r="BB36" s="276" t="e">
        <f t="shared" si="10"/>
        <v>#REF!</v>
      </c>
      <c r="BC36" s="277" t="e">
        <f t="shared" si="16"/>
        <v>#REF!</v>
      </c>
      <c r="BD36" s="278" t="e">
        <f t="shared" si="11"/>
        <v>#REF!</v>
      </c>
      <c r="BF36" s="770" t="e">
        <f t="shared" si="17"/>
        <v>#REF!</v>
      </c>
      <c r="BG36" s="771"/>
      <c r="BH36" s="279" t="e">
        <f t="shared" si="18"/>
        <v>#REF!</v>
      </c>
      <c r="BI36" s="772" t="e">
        <f t="shared" si="19"/>
        <v>#REF!</v>
      </c>
      <c r="BJ36" s="773"/>
      <c r="BK36" s="774" t="e">
        <f>IF(BR36&gt;0,CHOOSE(MATCH(RegimeExecucao,{"Unitário","Global"},0),IF($A36="S",BR36/BN36,""),(BR36/BN36)*100),"")</f>
        <v>#REF!</v>
      </c>
      <c r="BL36" s="775"/>
      <c r="BM36" s="776"/>
      <c r="BN36" s="777" t="e">
        <f>IF(BR36&gt;0,CHOOSE(MATCH(RegimeExecucao,{"Unitário","Global"},0),IF($A36="S",ROUND(P36,arredunit),""),ROUND(R36,arredtot)),"")</f>
        <v>#REF!</v>
      </c>
      <c r="BO36" s="778"/>
      <c r="BP36" s="778"/>
      <c r="BQ36" s="779"/>
      <c r="BR36" s="777" t="e">
        <f t="shared" si="1"/>
        <v>#REF!</v>
      </c>
      <c r="BS36" s="778"/>
      <c r="BT36" s="778"/>
      <c r="BU36" s="779"/>
      <c r="BV36" s="780"/>
      <c r="BW36" s="780"/>
      <c r="BX36" s="780"/>
      <c r="BY36" s="780"/>
      <c r="BZ36" s="780"/>
      <c r="CA36" s="781"/>
      <c r="CB36" s="245"/>
      <c r="CC36" s="245"/>
    </row>
    <row r="37" spans="1:81" s="222" customFormat="1" ht="29.4" customHeight="1">
      <c r="A37" s="222" t="str">
        <f t="shared" si="12"/>
        <v>S</v>
      </c>
      <c r="B37" s="222">
        <f t="shared" si="13"/>
        <v>0</v>
      </c>
      <c r="C37" s="222">
        <f t="shared" ca="1" si="2"/>
        <v>3</v>
      </c>
      <c r="D37" s="222">
        <f t="shared" ca="1" si="3"/>
        <v>2</v>
      </c>
      <c r="E37" s="222">
        <f t="shared" ca="1" si="4"/>
        <v>0</v>
      </c>
      <c r="F37" s="222">
        <f t="shared" ca="1" si="5"/>
        <v>0</v>
      </c>
      <c r="G37" s="222">
        <f t="shared" ca="1" si="6"/>
        <v>2</v>
      </c>
      <c r="H37" s="222">
        <f t="shared" ca="1" si="7"/>
        <v>0</v>
      </c>
      <c r="I37" s="222">
        <f t="shared" ca="1" si="8"/>
        <v>0</v>
      </c>
      <c r="J37" s="222">
        <f t="shared" si="9"/>
        <v>2</v>
      </c>
      <c r="K37" s="269" t="s">
        <v>4</v>
      </c>
      <c r="L37" s="336" t="s">
        <v>77</v>
      </c>
      <c r="M37" s="325" t="s">
        <v>78</v>
      </c>
      <c r="N37" s="326" t="s">
        <v>43</v>
      </c>
      <c r="O37" s="327">
        <v>32</v>
      </c>
      <c r="P37" s="328">
        <v>11.44375</v>
      </c>
      <c r="Q37" s="329">
        <f t="shared" si="14"/>
        <v>0</v>
      </c>
      <c r="R37" s="330">
        <f t="shared" si="20"/>
        <v>366.2</v>
      </c>
      <c r="S37" s="331">
        <f t="shared" si="21"/>
        <v>32</v>
      </c>
      <c r="T37" s="337">
        <f t="shared" si="22"/>
        <v>0</v>
      </c>
      <c r="U37" s="332">
        <f t="shared" si="23"/>
        <v>32</v>
      </c>
      <c r="V37" s="338">
        <f t="shared" si="24"/>
        <v>366.2</v>
      </c>
      <c r="W37" s="339">
        <f t="shared" si="25"/>
        <v>0</v>
      </c>
      <c r="X37" s="340">
        <f t="shared" si="26"/>
        <v>366.2</v>
      </c>
      <c r="Y37" s="333"/>
      <c r="Z37" s="334">
        <v>32</v>
      </c>
      <c r="AA37" s="328"/>
      <c r="AB37" s="328"/>
      <c r="AC37" s="328"/>
      <c r="AD37" s="328"/>
      <c r="AE37" s="328"/>
      <c r="AF37" s="328"/>
      <c r="AG37" s="328"/>
      <c r="AH37" s="328"/>
      <c r="AI37" s="328"/>
      <c r="AJ37" s="328"/>
      <c r="AK37" s="335"/>
      <c r="AL37" s="334"/>
      <c r="AM37" s="328"/>
      <c r="AN37" s="328"/>
      <c r="AO37" s="328"/>
      <c r="AP37" s="328"/>
      <c r="AQ37" s="271"/>
      <c r="AR37" s="271"/>
      <c r="AS37" s="271"/>
      <c r="AT37" s="271"/>
      <c r="AU37" s="271"/>
      <c r="AV37" s="271"/>
      <c r="AW37" s="272"/>
      <c r="AX37" s="245"/>
      <c r="AY37" s="273">
        <v>0</v>
      </c>
      <c r="AZ37" s="274">
        <f t="shared" si="15"/>
        <v>0</v>
      </c>
      <c r="BA37" s="275">
        <v>0</v>
      </c>
      <c r="BB37" s="276" t="e">
        <f t="shared" si="10"/>
        <v>#REF!</v>
      </c>
      <c r="BC37" s="277" t="e">
        <f t="shared" si="16"/>
        <v>#REF!</v>
      </c>
      <c r="BD37" s="278" t="e">
        <f t="shared" si="11"/>
        <v>#REF!</v>
      </c>
      <c r="BF37" s="770" t="e">
        <f t="shared" si="17"/>
        <v>#REF!</v>
      </c>
      <c r="BG37" s="771"/>
      <c r="BH37" s="279" t="e">
        <f t="shared" si="18"/>
        <v>#REF!</v>
      </c>
      <c r="BI37" s="772" t="e">
        <f t="shared" si="19"/>
        <v>#REF!</v>
      </c>
      <c r="BJ37" s="773"/>
      <c r="BK37" s="774" t="e">
        <f>IF(BR37&gt;0,CHOOSE(MATCH(RegimeExecucao,{"Unitário","Global"},0),IF($A37="S",BR37/BN37,""),(BR37/BN37)*100),"")</f>
        <v>#REF!</v>
      </c>
      <c r="BL37" s="775"/>
      <c r="BM37" s="776"/>
      <c r="BN37" s="777" t="e">
        <f>IF(BR37&gt;0,CHOOSE(MATCH(RegimeExecucao,{"Unitário","Global"},0),IF($A37="S",ROUND(P37,arredunit),""),ROUND(R37,arredtot)),"")</f>
        <v>#REF!</v>
      </c>
      <c r="BO37" s="778"/>
      <c r="BP37" s="778"/>
      <c r="BQ37" s="779"/>
      <c r="BR37" s="777" t="e">
        <f t="shared" si="1"/>
        <v>#REF!</v>
      </c>
      <c r="BS37" s="778"/>
      <c r="BT37" s="778"/>
      <c r="BU37" s="779"/>
      <c r="BV37" s="780"/>
      <c r="BW37" s="780"/>
      <c r="BX37" s="780"/>
      <c r="BY37" s="780"/>
      <c r="BZ37" s="780"/>
      <c r="CA37" s="781"/>
      <c r="CB37" s="245"/>
      <c r="CC37" s="245"/>
    </row>
    <row r="38" spans="1:81" s="222" customFormat="1" ht="16.2" customHeight="1">
      <c r="A38" s="222">
        <f t="shared" si="12"/>
        <v>1</v>
      </c>
      <c r="B38" s="222">
        <f t="shared" ca="1" si="13"/>
        <v>2</v>
      </c>
      <c r="C38" s="222">
        <f t="shared" ca="1" si="2"/>
        <v>4</v>
      </c>
      <c r="D38" s="222">
        <f t="shared" ca="1" si="3"/>
        <v>0</v>
      </c>
      <c r="E38" s="222">
        <f t="shared" ca="1" si="4"/>
        <v>0</v>
      </c>
      <c r="F38" s="222">
        <f t="shared" ca="1" si="5"/>
        <v>0</v>
      </c>
      <c r="G38" s="222">
        <f t="shared" ca="1" si="6"/>
        <v>0</v>
      </c>
      <c r="H38" s="222">
        <f t="shared" ca="1" si="7"/>
        <v>58</v>
      </c>
      <c r="I38" s="222">
        <f t="shared" ca="1" si="8"/>
        <v>2</v>
      </c>
      <c r="J38" s="222">
        <f t="shared" si="9"/>
        <v>0</v>
      </c>
      <c r="K38" s="269" t="str">
        <f>CHOOSE(1+LOG(1+2*($J38=3)+4*($J38=2)+8*($J38=1)+16*(AND($L38&lt;&gt;"",$L38&lt;&gt;0,$J38=0))+32*OR($N38&lt;&gt;"",RegimeExecucao="Global",AND($L38="",$M38="",$N38="")),2),"","Nível 4","Nível 3","Nível 2","Meta","Serviço")</f>
        <v>Meta</v>
      </c>
      <c r="L38" s="324">
        <v>4</v>
      </c>
      <c r="M38" s="325" t="s">
        <v>79</v>
      </c>
      <c r="N38" s="326"/>
      <c r="O38" s="327"/>
      <c r="P38" s="328"/>
      <c r="Q38" s="329">
        <f t="shared" si="14"/>
        <v>6601.99</v>
      </c>
      <c r="R38" s="330">
        <f>R39</f>
        <v>6601.99</v>
      </c>
      <c r="S38" s="331">
        <f t="shared" si="21"/>
        <v>0</v>
      </c>
      <c r="T38" s="339">
        <f>T39</f>
        <v>0</v>
      </c>
      <c r="U38" s="332">
        <f t="shared" si="23"/>
        <v>0</v>
      </c>
      <c r="V38" s="338">
        <f t="shared" si="24"/>
        <v>6601.99</v>
      </c>
      <c r="W38" s="339">
        <f>W39</f>
        <v>0</v>
      </c>
      <c r="X38" s="340">
        <f t="shared" si="26"/>
        <v>6601.99</v>
      </c>
      <c r="Y38" s="333"/>
      <c r="Z38" s="334"/>
      <c r="AA38" s="328"/>
      <c r="AB38" s="328"/>
      <c r="AC38" s="328"/>
      <c r="AD38" s="328"/>
      <c r="AE38" s="328"/>
      <c r="AF38" s="328"/>
      <c r="AG38" s="328"/>
      <c r="AH38" s="328"/>
      <c r="AI38" s="328"/>
      <c r="AJ38" s="328"/>
      <c r="AK38" s="335"/>
      <c r="AL38" s="334"/>
      <c r="AM38" s="328"/>
      <c r="AN38" s="328"/>
      <c r="AO38" s="328"/>
      <c r="AP38" s="328"/>
      <c r="AQ38" s="271"/>
      <c r="AR38" s="271"/>
      <c r="AS38" s="271"/>
      <c r="AT38" s="271"/>
      <c r="AU38" s="271"/>
      <c r="AV38" s="271"/>
      <c r="AW38" s="272"/>
      <c r="AX38" s="245"/>
      <c r="AY38" s="273">
        <v>0</v>
      </c>
      <c r="AZ38" s="274">
        <f t="shared" si="15"/>
        <v>0</v>
      </c>
      <c r="BA38" s="275">
        <v>0</v>
      </c>
      <c r="BB38" s="276" t="e">
        <f t="shared" ca="1" si="10"/>
        <v>#REF!</v>
      </c>
      <c r="BC38" s="277" t="e">
        <f t="shared" ca="1" si="16"/>
        <v>#REF!</v>
      </c>
      <c r="BD38" s="278" t="e">
        <f t="shared" ca="1" si="11"/>
        <v>#REF!</v>
      </c>
      <c r="BF38" s="770" t="e">
        <f t="shared" ca="1" si="17"/>
        <v>#REF!</v>
      </c>
      <c r="BG38" s="771"/>
      <c r="BH38" s="279" t="e">
        <f t="shared" ca="1" si="18"/>
        <v>#REF!</v>
      </c>
      <c r="BI38" s="772" t="e">
        <f t="shared" ca="1" si="19"/>
        <v>#REF!</v>
      </c>
      <c r="BJ38" s="773"/>
      <c r="BK38" s="774" t="e">
        <f ca="1">IF(BR38&gt;0,CHOOSE(MATCH(RegimeExecucao,{"Unitário","Global"},0),IF($A38="S",BR38/BN38,""),(BR38/BN38)*100),"")</f>
        <v>#REF!</v>
      </c>
      <c r="BL38" s="775"/>
      <c r="BM38" s="776"/>
      <c r="BN38" s="777" t="e">
        <f ca="1">IF(BR38&gt;0,CHOOSE(MATCH(RegimeExecucao,{"Unitário","Global"},0),IF($A38="S",ROUND(P38,arredunit),""),ROUND(R38,arredtot)),"")</f>
        <v>#REF!</v>
      </c>
      <c r="BO38" s="778"/>
      <c r="BP38" s="778"/>
      <c r="BQ38" s="779"/>
      <c r="BR38" s="777" t="e">
        <f t="shared" ca="1" si="1"/>
        <v>#REF!</v>
      </c>
      <c r="BS38" s="778"/>
      <c r="BT38" s="778"/>
      <c r="BU38" s="779"/>
      <c r="BV38" s="780"/>
      <c r="BW38" s="780"/>
      <c r="BX38" s="780"/>
      <c r="BY38" s="780"/>
      <c r="BZ38" s="780"/>
      <c r="CA38" s="781"/>
      <c r="CB38" s="245"/>
      <c r="CC38" s="245"/>
    </row>
    <row r="39" spans="1:81" s="222" customFormat="1" ht="72.599999999999994" customHeight="1">
      <c r="A39" s="222" t="str">
        <f t="shared" si="12"/>
        <v>S</v>
      </c>
      <c r="B39" s="222">
        <f t="shared" si="13"/>
        <v>0</v>
      </c>
      <c r="C39" s="222">
        <f t="shared" ca="1" si="2"/>
        <v>4</v>
      </c>
      <c r="D39" s="222">
        <f t="shared" ca="1" si="3"/>
        <v>0</v>
      </c>
      <c r="E39" s="222">
        <f t="shared" ca="1" si="4"/>
        <v>0</v>
      </c>
      <c r="F39" s="222">
        <f t="shared" ca="1" si="5"/>
        <v>0</v>
      </c>
      <c r="G39" s="222">
        <f t="shared" ca="1" si="6"/>
        <v>1</v>
      </c>
      <c r="H39" s="222">
        <f t="shared" ca="1" si="7"/>
        <v>0</v>
      </c>
      <c r="I39" s="222">
        <f t="shared" ca="1" si="8"/>
        <v>0</v>
      </c>
      <c r="J39" s="222">
        <f t="shared" si="9"/>
        <v>1</v>
      </c>
      <c r="K39" s="269" t="s">
        <v>4</v>
      </c>
      <c r="L39" s="336" t="s">
        <v>80</v>
      </c>
      <c r="M39" s="325" t="s">
        <v>81</v>
      </c>
      <c r="N39" s="326" t="s">
        <v>43</v>
      </c>
      <c r="O39" s="327">
        <v>108</v>
      </c>
      <c r="P39" s="328">
        <v>61.129537037037039</v>
      </c>
      <c r="Q39" s="329">
        <f t="shared" si="14"/>
        <v>0</v>
      </c>
      <c r="R39" s="330">
        <f t="shared" si="20"/>
        <v>6601.99</v>
      </c>
      <c r="S39" s="331">
        <f t="shared" si="21"/>
        <v>51.34</v>
      </c>
      <c r="T39" s="337">
        <f t="shared" si="22"/>
        <v>0</v>
      </c>
      <c r="U39" s="332">
        <f t="shared" si="23"/>
        <v>51.34</v>
      </c>
      <c r="V39" s="338">
        <f>IF(O39-Z39-AA39&gt;0.01,(Z39+AA39)*P39,R39)+0.02</f>
        <v>3138.4104314814817</v>
      </c>
      <c r="W39" s="339">
        <f t="shared" si="25"/>
        <v>0</v>
      </c>
      <c r="X39" s="340">
        <f t="shared" si="26"/>
        <v>3138.4104314814817</v>
      </c>
      <c r="Y39" s="333"/>
      <c r="Z39" s="334"/>
      <c r="AA39" s="328">
        <v>51.34</v>
      </c>
      <c r="AB39" s="328"/>
      <c r="AC39" s="328"/>
      <c r="AD39" s="328"/>
      <c r="AE39" s="328"/>
      <c r="AF39" s="328"/>
      <c r="AG39" s="328"/>
      <c r="AH39" s="328"/>
      <c r="AI39" s="328"/>
      <c r="AJ39" s="328"/>
      <c r="AK39" s="335"/>
      <c r="AL39" s="334"/>
      <c r="AM39" s="328"/>
      <c r="AN39" s="328"/>
      <c r="AO39" s="328"/>
      <c r="AP39" s="328"/>
      <c r="AQ39" s="271"/>
      <c r="AR39" s="271"/>
      <c r="AS39" s="271"/>
      <c r="AT39" s="271"/>
      <c r="AU39" s="271"/>
      <c r="AV39" s="271"/>
      <c r="AW39" s="272"/>
      <c r="AX39" s="245"/>
      <c r="AY39" s="273">
        <v>0</v>
      </c>
      <c r="AZ39" s="274">
        <f t="shared" si="15"/>
        <v>0</v>
      </c>
      <c r="BA39" s="275">
        <v>0</v>
      </c>
      <c r="BB39" s="276" t="e">
        <f t="shared" si="10"/>
        <v>#REF!</v>
      </c>
      <c r="BC39" s="277" t="e">
        <f t="shared" si="16"/>
        <v>#REF!</v>
      </c>
      <c r="BD39" s="278" t="e">
        <f t="shared" si="11"/>
        <v>#REF!</v>
      </c>
      <c r="BF39" s="770" t="e">
        <f t="shared" si="17"/>
        <v>#REF!</v>
      </c>
      <c r="BG39" s="771"/>
      <c r="BH39" s="279" t="e">
        <f t="shared" si="18"/>
        <v>#REF!</v>
      </c>
      <c r="BI39" s="772" t="e">
        <f t="shared" si="19"/>
        <v>#REF!</v>
      </c>
      <c r="BJ39" s="773"/>
      <c r="BK39" s="774" t="e">
        <f>IF(BR39&gt;0,CHOOSE(MATCH(RegimeExecucao,{"Unitário","Global"},0),IF($A39="S",BR39/BN39,""),(BR39/BN39)*100),"")</f>
        <v>#REF!</v>
      </c>
      <c r="BL39" s="775"/>
      <c r="BM39" s="776"/>
      <c r="BN39" s="777" t="e">
        <f>IF(BR39&gt;0,CHOOSE(MATCH(RegimeExecucao,{"Unitário","Global"},0),IF($A39="S",ROUND(P39,arredunit),""),ROUND(R39,arredtot)),"")</f>
        <v>#REF!</v>
      </c>
      <c r="BO39" s="778"/>
      <c r="BP39" s="778"/>
      <c r="BQ39" s="779"/>
      <c r="BR39" s="777" t="e">
        <f t="shared" si="1"/>
        <v>#REF!</v>
      </c>
      <c r="BS39" s="778"/>
      <c r="BT39" s="778"/>
      <c r="BU39" s="779"/>
      <c r="BV39" s="780"/>
      <c r="BW39" s="780"/>
      <c r="BX39" s="780"/>
      <c r="BY39" s="780"/>
      <c r="BZ39" s="780"/>
      <c r="CA39" s="781"/>
      <c r="CB39" s="245"/>
      <c r="CC39" s="245"/>
    </row>
    <row r="40" spans="1:81" s="222" customFormat="1" ht="13.8">
      <c r="A40" s="222">
        <f t="shared" si="12"/>
        <v>1</v>
      </c>
      <c r="B40" s="222">
        <f t="shared" ca="1" si="13"/>
        <v>6</v>
      </c>
      <c r="C40" s="222">
        <f t="shared" ca="1" si="2"/>
        <v>5</v>
      </c>
      <c r="D40" s="222">
        <f t="shared" ca="1" si="3"/>
        <v>0</v>
      </c>
      <c r="E40" s="222">
        <f t="shared" ca="1" si="4"/>
        <v>0</v>
      </c>
      <c r="F40" s="222">
        <f t="shared" ca="1" si="5"/>
        <v>0</v>
      </c>
      <c r="G40" s="222">
        <f t="shared" ca="1" si="6"/>
        <v>0</v>
      </c>
      <c r="H40" s="222">
        <f t="shared" ca="1" si="7"/>
        <v>56</v>
      </c>
      <c r="I40" s="222">
        <f t="shared" ca="1" si="8"/>
        <v>6</v>
      </c>
      <c r="J40" s="222">
        <f t="shared" si="9"/>
        <v>0</v>
      </c>
      <c r="K40" s="269" t="str">
        <f>CHOOSE(1+LOG(1+2*($J40=3)+4*($J40=2)+8*($J40=1)+16*(AND($L40&lt;&gt;"",$L40&lt;&gt;0,$J40=0))+32*OR($N40&lt;&gt;"",RegimeExecucao="Global",AND($L40="",$M40="",$N40="")),2),"","Nível 4","Nível 3","Nível 2","Meta","Serviço")</f>
        <v>Meta</v>
      </c>
      <c r="L40" s="324">
        <v>5</v>
      </c>
      <c r="M40" s="325" t="s">
        <v>82</v>
      </c>
      <c r="N40" s="326"/>
      <c r="O40" s="327"/>
      <c r="P40" s="328"/>
      <c r="Q40" s="329">
        <f t="shared" si="14"/>
        <v>13363.421</v>
      </c>
      <c r="R40" s="330">
        <f>SUM(R41:R45)</f>
        <v>13363.421</v>
      </c>
      <c r="S40" s="331">
        <f t="shared" si="21"/>
        <v>0</v>
      </c>
      <c r="T40" s="339"/>
      <c r="U40" s="332">
        <f t="shared" si="23"/>
        <v>0</v>
      </c>
      <c r="V40" s="338">
        <f t="shared" si="24"/>
        <v>13363.421</v>
      </c>
      <c r="W40" s="339">
        <f>SUM(W41:W45)</f>
        <v>3755.0899999999997</v>
      </c>
      <c r="X40" s="340">
        <f t="shared" si="26"/>
        <v>17118.510999999999</v>
      </c>
      <c r="Y40" s="333"/>
      <c r="Z40" s="334"/>
      <c r="AA40" s="328"/>
      <c r="AB40" s="328"/>
      <c r="AC40" s="328"/>
      <c r="AD40" s="328"/>
      <c r="AE40" s="328"/>
      <c r="AF40" s="328"/>
      <c r="AG40" s="328"/>
      <c r="AH40" s="328"/>
      <c r="AI40" s="328"/>
      <c r="AJ40" s="328"/>
      <c r="AK40" s="335"/>
      <c r="AL40" s="334"/>
      <c r="AM40" s="328"/>
      <c r="AN40" s="328"/>
      <c r="AO40" s="328"/>
      <c r="AP40" s="328"/>
      <c r="AQ40" s="271"/>
      <c r="AR40" s="271"/>
      <c r="AS40" s="271"/>
      <c r="AT40" s="271"/>
      <c r="AU40" s="271"/>
      <c r="AV40" s="271"/>
      <c r="AW40" s="272"/>
      <c r="AX40" s="245"/>
      <c r="AY40" s="273">
        <v>0</v>
      </c>
      <c r="AZ40" s="274">
        <f t="shared" si="15"/>
        <v>0</v>
      </c>
      <c r="BA40" s="275">
        <v>0</v>
      </c>
      <c r="BB40" s="276" t="e">
        <f t="shared" ca="1" si="10"/>
        <v>#REF!</v>
      </c>
      <c r="BC40" s="277" t="e">
        <f t="shared" ca="1" si="16"/>
        <v>#REF!</v>
      </c>
      <c r="BD40" s="278" t="e">
        <f t="shared" ca="1" si="11"/>
        <v>#REF!</v>
      </c>
      <c r="BF40" s="770" t="e">
        <f t="shared" ca="1" si="17"/>
        <v>#REF!</v>
      </c>
      <c r="BG40" s="771"/>
      <c r="BH40" s="279" t="e">
        <f t="shared" ca="1" si="18"/>
        <v>#REF!</v>
      </c>
      <c r="BI40" s="772" t="e">
        <f t="shared" ca="1" si="19"/>
        <v>#REF!</v>
      </c>
      <c r="BJ40" s="773"/>
      <c r="BK40" s="774" t="e">
        <f ca="1">IF(BR40&gt;0,CHOOSE(MATCH(RegimeExecucao,{"Unitário","Global"},0),IF($A40="S",BR40/BN40,""),(BR40/BN40)*100),"")</f>
        <v>#REF!</v>
      </c>
      <c r="BL40" s="775"/>
      <c r="BM40" s="776"/>
      <c r="BN40" s="777" t="e">
        <f ca="1">IF(BR40&gt;0,CHOOSE(MATCH(RegimeExecucao,{"Unitário","Global"},0),IF($A40="S",ROUND(P40,arredunit),""),ROUND(R40,arredtot)),"")</f>
        <v>#REF!</v>
      </c>
      <c r="BO40" s="778"/>
      <c r="BP40" s="778"/>
      <c r="BQ40" s="779"/>
      <c r="BR40" s="777" t="e">
        <f t="shared" ca="1" si="1"/>
        <v>#REF!</v>
      </c>
      <c r="BS40" s="778"/>
      <c r="BT40" s="778"/>
      <c r="BU40" s="779"/>
      <c r="BV40" s="780"/>
      <c r="BW40" s="780"/>
      <c r="BX40" s="780"/>
      <c r="BY40" s="780"/>
      <c r="BZ40" s="780"/>
      <c r="CA40" s="781"/>
      <c r="CB40" s="245"/>
      <c r="CC40" s="245"/>
    </row>
    <row r="41" spans="1:81" s="222" customFormat="1" ht="31.8" customHeight="1">
      <c r="A41" s="222" t="str">
        <f t="shared" si="12"/>
        <v>S</v>
      </c>
      <c r="B41" s="222">
        <f t="shared" si="13"/>
        <v>0</v>
      </c>
      <c r="C41" s="222">
        <f t="shared" ca="1" si="2"/>
        <v>5</v>
      </c>
      <c r="D41" s="222">
        <f t="shared" ca="1" si="3"/>
        <v>0</v>
      </c>
      <c r="E41" s="222">
        <f t="shared" ca="1" si="4"/>
        <v>0</v>
      </c>
      <c r="F41" s="222">
        <f t="shared" ca="1" si="5"/>
        <v>0</v>
      </c>
      <c r="G41" s="222">
        <f t="shared" ca="1" si="6"/>
        <v>1</v>
      </c>
      <c r="H41" s="222">
        <f t="shared" ca="1" si="7"/>
        <v>0</v>
      </c>
      <c r="I41" s="222">
        <f t="shared" ca="1" si="8"/>
        <v>0</v>
      </c>
      <c r="J41" s="222">
        <f t="shared" si="9"/>
        <v>1</v>
      </c>
      <c r="K41" s="269" t="s">
        <v>4</v>
      </c>
      <c r="L41" s="336" t="s">
        <v>83</v>
      </c>
      <c r="M41" s="325" t="s">
        <v>84</v>
      </c>
      <c r="N41" s="326" t="s">
        <v>43</v>
      </c>
      <c r="O41" s="327">
        <v>10</v>
      </c>
      <c r="P41" s="328">
        <v>335.32</v>
      </c>
      <c r="Q41" s="329">
        <f t="shared" si="14"/>
        <v>0</v>
      </c>
      <c r="R41" s="330">
        <f t="shared" si="20"/>
        <v>3353.2</v>
      </c>
      <c r="S41" s="331">
        <f t="shared" si="21"/>
        <v>0</v>
      </c>
      <c r="T41" s="337">
        <f t="shared" si="22"/>
        <v>10</v>
      </c>
      <c r="U41" s="332">
        <f t="shared" si="23"/>
        <v>10</v>
      </c>
      <c r="V41" s="338">
        <f t="shared" si="24"/>
        <v>0</v>
      </c>
      <c r="W41" s="339">
        <f t="shared" si="25"/>
        <v>3353.2</v>
      </c>
      <c r="X41" s="340">
        <f t="shared" si="26"/>
        <v>3353.2</v>
      </c>
      <c r="Y41" s="333"/>
      <c r="Z41" s="334"/>
      <c r="AA41" s="328"/>
      <c r="AB41" s="328">
        <v>10</v>
      </c>
      <c r="AC41" s="328"/>
      <c r="AD41" s="328"/>
      <c r="AE41" s="328"/>
      <c r="AF41" s="328"/>
      <c r="AG41" s="328"/>
      <c r="AH41" s="328"/>
      <c r="AI41" s="328"/>
      <c r="AJ41" s="328"/>
      <c r="AK41" s="335"/>
      <c r="AL41" s="334"/>
      <c r="AM41" s="328"/>
      <c r="AN41" s="328"/>
      <c r="AO41" s="328"/>
      <c r="AP41" s="328"/>
      <c r="AQ41" s="271"/>
      <c r="AR41" s="271"/>
      <c r="AS41" s="271"/>
      <c r="AT41" s="271"/>
      <c r="AU41" s="271"/>
      <c r="AV41" s="271"/>
      <c r="AW41" s="272"/>
      <c r="AX41" s="245"/>
      <c r="AY41" s="273">
        <v>0</v>
      </c>
      <c r="AZ41" s="274">
        <f t="shared" si="15"/>
        <v>0</v>
      </c>
      <c r="BA41" s="275">
        <v>0</v>
      </c>
      <c r="BB41" s="276" t="e">
        <f t="shared" si="10"/>
        <v>#REF!</v>
      </c>
      <c r="BC41" s="277" t="e">
        <f t="shared" si="16"/>
        <v>#REF!</v>
      </c>
      <c r="BD41" s="278" t="e">
        <f t="shared" si="11"/>
        <v>#REF!</v>
      </c>
      <c r="BF41" s="770" t="e">
        <f t="shared" si="17"/>
        <v>#REF!</v>
      </c>
      <c r="BG41" s="771"/>
      <c r="BH41" s="279" t="e">
        <f t="shared" si="18"/>
        <v>#REF!</v>
      </c>
      <c r="BI41" s="772" t="e">
        <f t="shared" si="19"/>
        <v>#REF!</v>
      </c>
      <c r="BJ41" s="773"/>
      <c r="BK41" s="774" t="e">
        <f>IF(BR41&gt;0,CHOOSE(MATCH(RegimeExecucao,{"Unitário","Global"},0),IF($A41="S",BR41/BN41,""),(BR41/BN41)*100),"")</f>
        <v>#REF!</v>
      </c>
      <c r="BL41" s="775"/>
      <c r="BM41" s="776"/>
      <c r="BN41" s="777" t="e">
        <f>IF(BR41&gt;0,CHOOSE(MATCH(RegimeExecucao,{"Unitário","Global"},0),IF($A41="S",ROUND(P41,arredunit),""),ROUND(R41,arredtot)),"")</f>
        <v>#REF!</v>
      </c>
      <c r="BO41" s="778"/>
      <c r="BP41" s="778"/>
      <c r="BQ41" s="779"/>
      <c r="BR41" s="777" t="e">
        <f t="shared" si="1"/>
        <v>#REF!</v>
      </c>
      <c r="BS41" s="778"/>
      <c r="BT41" s="778"/>
      <c r="BU41" s="779"/>
      <c r="BV41" s="780"/>
      <c r="BW41" s="780"/>
      <c r="BX41" s="780"/>
      <c r="BY41" s="780"/>
      <c r="BZ41" s="780"/>
      <c r="CA41" s="781"/>
      <c r="CB41" s="245"/>
      <c r="CC41" s="245"/>
    </row>
    <row r="42" spans="1:81" s="222" customFormat="1" ht="43.8" customHeight="1">
      <c r="A42" s="222" t="str">
        <f t="shared" si="12"/>
        <v>S</v>
      </c>
      <c r="B42" s="222">
        <f t="shared" si="13"/>
        <v>0</v>
      </c>
      <c r="C42" s="222">
        <f t="shared" ca="1" si="2"/>
        <v>5</v>
      </c>
      <c r="D42" s="222">
        <f t="shared" ca="1" si="3"/>
        <v>0</v>
      </c>
      <c r="E42" s="222">
        <f t="shared" ca="1" si="4"/>
        <v>0</v>
      </c>
      <c r="F42" s="222">
        <f t="shared" ca="1" si="5"/>
        <v>0</v>
      </c>
      <c r="G42" s="222">
        <f t="shared" ca="1" si="6"/>
        <v>2</v>
      </c>
      <c r="H42" s="222">
        <f t="shared" ca="1" si="7"/>
        <v>0</v>
      </c>
      <c r="I42" s="222">
        <f t="shared" ca="1" si="8"/>
        <v>0</v>
      </c>
      <c r="J42" s="222">
        <f t="shared" si="9"/>
        <v>1</v>
      </c>
      <c r="K42" s="269" t="s">
        <v>4</v>
      </c>
      <c r="L42" s="336" t="s">
        <v>85</v>
      </c>
      <c r="M42" s="325" t="s">
        <v>86</v>
      </c>
      <c r="N42" s="326" t="s">
        <v>43</v>
      </c>
      <c r="O42" s="327">
        <v>5.9999862456931838</v>
      </c>
      <c r="P42" s="328">
        <v>1454.09</v>
      </c>
      <c r="Q42" s="329">
        <f t="shared" si="14"/>
        <v>0</v>
      </c>
      <c r="R42" s="330">
        <f t="shared" si="20"/>
        <v>8724.52</v>
      </c>
      <c r="S42" s="331">
        <f t="shared" si="21"/>
        <v>0</v>
      </c>
      <c r="T42" s="337">
        <f t="shared" si="22"/>
        <v>0</v>
      </c>
      <c r="U42" s="332">
        <f t="shared" si="23"/>
        <v>0</v>
      </c>
      <c r="V42" s="338">
        <f t="shared" si="24"/>
        <v>0</v>
      </c>
      <c r="W42" s="339">
        <f t="shared" si="25"/>
        <v>0</v>
      </c>
      <c r="X42" s="340">
        <f t="shared" si="26"/>
        <v>0</v>
      </c>
      <c r="Y42" s="333"/>
      <c r="Z42" s="334"/>
      <c r="AA42" s="328"/>
      <c r="AB42" s="328"/>
      <c r="AC42" s="328"/>
      <c r="AD42" s="328"/>
      <c r="AE42" s="328"/>
      <c r="AF42" s="328"/>
      <c r="AG42" s="328"/>
      <c r="AH42" s="328"/>
      <c r="AI42" s="328"/>
      <c r="AJ42" s="328"/>
      <c r="AK42" s="335"/>
      <c r="AL42" s="334"/>
      <c r="AM42" s="328"/>
      <c r="AN42" s="328"/>
      <c r="AO42" s="328"/>
      <c r="AP42" s="328"/>
      <c r="AQ42" s="271"/>
      <c r="AR42" s="271"/>
      <c r="AS42" s="271"/>
      <c r="AT42" s="271"/>
      <c r="AU42" s="271"/>
      <c r="AV42" s="271"/>
      <c r="AW42" s="272"/>
      <c r="AX42" s="245"/>
      <c r="AY42" s="273">
        <v>0</v>
      </c>
      <c r="AZ42" s="274">
        <f t="shared" si="15"/>
        <v>0</v>
      </c>
      <c r="BA42" s="275">
        <v>0</v>
      </c>
      <c r="BB42" s="276" t="e">
        <f t="shared" si="10"/>
        <v>#REF!</v>
      </c>
      <c r="BC42" s="277" t="e">
        <f t="shared" si="16"/>
        <v>#REF!</v>
      </c>
      <c r="BD42" s="278" t="e">
        <f t="shared" si="11"/>
        <v>#REF!</v>
      </c>
      <c r="BF42" s="770" t="e">
        <f t="shared" si="17"/>
        <v>#REF!</v>
      </c>
      <c r="BG42" s="771"/>
      <c r="BH42" s="279" t="e">
        <f t="shared" si="18"/>
        <v>#REF!</v>
      </c>
      <c r="BI42" s="772" t="e">
        <f t="shared" si="19"/>
        <v>#REF!</v>
      </c>
      <c r="BJ42" s="773"/>
      <c r="BK42" s="774" t="e">
        <f>IF(BR42&gt;0,CHOOSE(MATCH(RegimeExecucao,{"Unitário","Global"},0),IF($A42="S",BR42/BN42,""),(BR42/BN42)*100),"")</f>
        <v>#REF!</v>
      </c>
      <c r="BL42" s="775"/>
      <c r="BM42" s="776"/>
      <c r="BN42" s="777" t="e">
        <f>IF(BR42&gt;0,CHOOSE(MATCH(RegimeExecucao,{"Unitário","Global"},0),IF($A42="S",ROUND(P42,arredunit),""),ROUND(R42,arredtot)),"")</f>
        <v>#REF!</v>
      </c>
      <c r="BO42" s="778"/>
      <c r="BP42" s="778"/>
      <c r="BQ42" s="779"/>
      <c r="BR42" s="777" t="e">
        <f t="shared" si="1"/>
        <v>#REF!</v>
      </c>
      <c r="BS42" s="778"/>
      <c r="BT42" s="778"/>
      <c r="BU42" s="779"/>
      <c r="BV42" s="780"/>
      <c r="BW42" s="780"/>
      <c r="BX42" s="780"/>
      <c r="BY42" s="780"/>
      <c r="BZ42" s="780"/>
      <c r="CA42" s="781"/>
      <c r="CB42" s="245"/>
      <c r="CC42" s="245"/>
    </row>
    <row r="43" spans="1:81" s="222" customFormat="1" ht="18.600000000000001" customHeight="1">
      <c r="A43" s="222" t="str">
        <f t="shared" si="12"/>
        <v>S</v>
      </c>
      <c r="B43" s="222">
        <f t="shared" si="13"/>
        <v>0</v>
      </c>
      <c r="C43" s="222">
        <f t="shared" ca="1" si="2"/>
        <v>5</v>
      </c>
      <c r="D43" s="222">
        <f t="shared" ca="1" si="3"/>
        <v>0</v>
      </c>
      <c r="E43" s="222">
        <f t="shared" ca="1" si="4"/>
        <v>0</v>
      </c>
      <c r="F43" s="222">
        <f t="shared" ca="1" si="5"/>
        <v>0</v>
      </c>
      <c r="G43" s="222">
        <f t="shared" ca="1" si="6"/>
        <v>3</v>
      </c>
      <c r="H43" s="222">
        <f t="shared" ca="1" si="7"/>
        <v>0</v>
      </c>
      <c r="I43" s="222">
        <f t="shared" ca="1" si="8"/>
        <v>0</v>
      </c>
      <c r="J43" s="222">
        <f t="shared" si="9"/>
        <v>1</v>
      </c>
      <c r="K43" s="269" t="s">
        <v>4</v>
      </c>
      <c r="L43" s="336" t="s">
        <v>87</v>
      </c>
      <c r="M43" s="325" t="s">
        <v>88</v>
      </c>
      <c r="N43" s="326" t="s">
        <v>43</v>
      </c>
      <c r="O43" s="327">
        <v>15.998805732484076</v>
      </c>
      <c r="P43" s="328">
        <v>25.12</v>
      </c>
      <c r="Q43" s="329">
        <f t="shared" si="14"/>
        <v>0</v>
      </c>
      <c r="R43" s="330">
        <f t="shared" si="20"/>
        <v>401.89</v>
      </c>
      <c r="S43" s="331">
        <f t="shared" si="21"/>
        <v>0</v>
      </c>
      <c r="T43" s="337">
        <f t="shared" si="22"/>
        <v>16</v>
      </c>
      <c r="U43" s="332">
        <f t="shared" si="23"/>
        <v>16</v>
      </c>
      <c r="V43" s="338">
        <f t="shared" si="24"/>
        <v>0</v>
      </c>
      <c r="W43" s="339">
        <f t="shared" si="25"/>
        <v>401.89</v>
      </c>
      <c r="X43" s="340">
        <f t="shared" si="26"/>
        <v>401.89</v>
      </c>
      <c r="Y43" s="333"/>
      <c r="Z43" s="334"/>
      <c r="AA43" s="328"/>
      <c r="AB43" s="328">
        <v>16</v>
      </c>
      <c r="AC43" s="328"/>
      <c r="AD43" s="328"/>
      <c r="AE43" s="328"/>
      <c r="AF43" s="328"/>
      <c r="AG43" s="328"/>
      <c r="AH43" s="328"/>
      <c r="AI43" s="328"/>
      <c r="AJ43" s="328"/>
      <c r="AK43" s="335"/>
      <c r="AL43" s="334"/>
      <c r="AM43" s="328"/>
      <c r="AN43" s="328"/>
      <c r="AO43" s="328"/>
      <c r="AP43" s="328"/>
      <c r="AQ43" s="271"/>
      <c r="AR43" s="271"/>
      <c r="AS43" s="271"/>
      <c r="AT43" s="271"/>
      <c r="AU43" s="271"/>
      <c r="AV43" s="271"/>
      <c r="AW43" s="272"/>
      <c r="AX43" s="245"/>
      <c r="AY43" s="273">
        <v>0</v>
      </c>
      <c r="AZ43" s="274">
        <f t="shared" si="15"/>
        <v>0</v>
      </c>
      <c r="BA43" s="275">
        <v>0</v>
      </c>
      <c r="BB43" s="276" t="e">
        <f t="shared" si="10"/>
        <v>#REF!</v>
      </c>
      <c r="BC43" s="277" t="e">
        <f t="shared" si="16"/>
        <v>#REF!</v>
      </c>
      <c r="BD43" s="278" t="e">
        <f t="shared" si="11"/>
        <v>#REF!</v>
      </c>
      <c r="BF43" s="770" t="e">
        <f t="shared" si="17"/>
        <v>#REF!</v>
      </c>
      <c r="BG43" s="771"/>
      <c r="BH43" s="279" t="e">
        <f t="shared" si="18"/>
        <v>#REF!</v>
      </c>
      <c r="BI43" s="772" t="e">
        <f t="shared" si="19"/>
        <v>#REF!</v>
      </c>
      <c r="BJ43" s="773"/>
      <c r="BK43" s="774" t="e">
        <f>IF(BR43&gt;0,CHOOSE(MATCH(RegimeExecucao,{"Unitário","Global"},0),IF($A43="S",BR43/BN43,""),(BR43/BN43)*100),"")</f>
        <v>#REF!</v>
      </c>
      <c r="BL43" s="775"/>
      <c r="BM43" s="776"/>
      <c r="BN43" s="777" t="e">
        <f>IF(BR43&gt;0,CHOOSE(MATCH(RegimeExecucao,{"Unitário","Global"},0),IF($A43="S",ROUND(P43,arredunit),""),ROUND(R43,arredtot)),"")</f>
        <v>#REF!</v>
      </c>
      <c r="BO43" s="778"/>
      <c r="BP43" s="778"/>
      <c r="BQ43" s="779"/>
      <c r="BR43" s="777" t="e">
        <f t="shared" si="1"/>
        <v>#REF!</v>
      </c>
      <c r="BS43" s="778"/>
      <c r="BT43" s="778"/>
      <c r="BU43" s="779"/>
      <c r="BV43" s="780"/>
      <c r="BW43" s="780"/>
      <c r="BX43" s="780"/>
      <c r="BY43" s="780"/>
      <c r="BZ43" s="780"/>
      <c r="CA43" s="781"/>
      <c r="CB43" s="245"/>
      <c r="CC43" s="245"/>
    </row>
    <row r="44" spans="1:81" s="222" customFormat="1" ht="33" customHeight="1">
      <c r="A44" s="222" t="str">
        <f t="shared" si="12"/>
        <v>S</v>
      </c>
      <c r="B44" s="222">
        <f t="shared" si="13"/>
        <v>0</v>
      </c>
      <c r="C44" s="222">
        <f t="shared" ca="1" si="2"/>
        <v>5</v>
      </c>
      <c r="D44" s="222">
        <f t="shared" ca="1" si="3"/>
        <v>0</v>
      </c>
      <c r="E44" s="222">
        <f t="shared" ca="1" si="4"/>
        <v>0</v>
      </c>
      <c r="F44" s="222">
        <f t="shared" ca="1" si="5"/>
        <v>0</v>
      </c>
      <c r="G44" s="222">
        <f t="shared" ca="1" si="6"/>
        <v>4</v>
      </c>
      <c r="H44" s="222">
        <f t="shared" ca="1" si="7"/>
        <v>0</v>
      </c>
      <c r="I44" s="222">
        <f t="shared" ca="1" si="8"/>
        <v>0</v>
      </c>
      <c r="J44" s="222">
        <f t="shared" si="9"/>
        <v>1</v>
      </c>
      <c r="K44" s="269" t="s">
        <v>4</v>
      </c>
      <c r="L44" s="336" t="s">
        <v>89</v>
      </c>
      <c r="M44" s="325" t="s">
        <v>90</v>
      </c>
      <c r="N44" s="326" t="s">
        <v>43</v>
      </c>
      <c r="O44" s="327">
        <v>2.1</v>
      </c>
      <c r="P44" s="328">
        <v>8.61</v>
      </c>
      <c r="Q44" s="329">
        <f t="shared" si="14"/>
        <v>0</v>
      </c>
      <c r="R44" s="330">
        <f t="shared" si="20"/>
        <v>18.081</v>
      </c>
      <c r="S44" s="331">
        <f t="shared" si="21"/>
        <v>2.1</v>
      </c>
      <c r="T44" s="337">
        <f t="shared" si="22"/>
        <v>0</v>
      </c>
      <c r="U44" s="332">
        <f t="shared" si="23"/>
        <v>2.1</v>
      </c>
      <c r="V44" s="338">
        <f t="shared" si="24"/>
        <v>18.081</v>
      </c>
      <c r="W44" s="339">
        <f t="shared" si="25"/>
        <v>0</v>
      </c>
      <c r="X44" s="340">
        <f t="shared" si="26"/>
        <v>18.081</v>
      </c>
      <c r="Y44" s="333"/>
      <c r="Z44" s="334"/>
      <c r="AA44" s="328">
        <v>2.1</v>
      </c>
      <c r="AB44" s="328"/>
      <c r="AC44" s="328"/>
      <c r="AD44" s="328"/>
      <c r="AE44" s="328"/>
      <c r="AF44" s="328"/>
      <c r="AG44" s="328"/>
      <c r="AH44" s="328"/>
      <c r="AI44" s="328"/>
      <c r="AJ44" s="328"/>
      <c r="AK44" s="335"/>
      <c r="AL44" s="334"/>
      <c r="AM44" s="328"/>
      <c r="AN44" s="328"/>
      <c r="AO44" s="328"/>
      <c r="AP44" s="328"/>
      <c r="AQ44" s="271"/>
      <c r="AR44" s="271"/>
      <c r="AS44" s="271"/>
      <c r="AT44" s="271"/>
      <c r="AU44" s="271"/>
      <c r="AV44" s="271"/>
      <c r="AW44" s="272"/>
      <c r="AX44" s="245"/>
      <c r="AY44" s="273">
        <v>0</v>
      </c>
      <c r="AZ44" s="274">
        <f t="shared" si="15"/>
        <v>0</v>
      </c>
      <c r="BA44" s="275">
        <v>0</v>
      </c>
      <c r="BB44" s="276" t="e">
        <f t="shared" si="10"/>
        <v>#REF!</v>
      </c>
      <c r="BC44" s="277" t="e">
        <f t="shared" si="16"/>
        <v>#REF!</v>
      </c>
      <c r="BD44" s="278" t="e">
        <f t="shared" si="11"/>
        <v>#REF!</v>
      </c>
      <c r="BF44" s="770" t="e">
        <f t="shared" si="17"/>
        <v>#REF!</v>
      </c>
      <c r="BG44" s="771"/>
      <c r="BH44" s="279" t="e">
        <f t="shared" si="18"/>
        <v>#REF!</v>
      </c>
      <c r="BI44" s="772" t="e">
        <f t="shared" si="19"/>
        <v>#REF!</v>
      </c>
      <c r="BJ44" s="773"/>
      <c r="BK44" s="774" t="e">
        <f>IF(BR44&gt;0,CHOOSE(MATCH(RegimeExecucao,{"Unitário","Global"},0),IF($A44="S",BR44/BN44,""),(BR44/BN44)*100),"")</f>
        <v>#REF!</v>
      </c>
      <c r="BL44" s="775"/>
      <c r="BM44" s="776"/>
      <c r="BN44" s="777" t="e">
        <f>IF(BR44&gt;0,CHOOSE(MATCH(RegimeExecucao,{"Unitário","Global"},0),IF($A44="S",ROUND(P44,arredunit),""),ROUND(R44,arredtot)),"")</f>
        <v>#REF!</v>
      </c>
      <c r="BO44" s="778"/>
      <c r="BP44" s="778"/>
      <c r="BQ44" s="779"/>
      <c r="BR44" s="777" t="e">
        <f t="shared" si="1"/>
        <v>#REF!</v>
      </c>
      <c r="BS44" s="778"/>
      <c r="BT44" s="778"/>
      <c r="BU44" s="779"/>
      <c r="BV44" s="780"/>
      <c r="BW44" s="780"/>
      <c r="BX44" s="780"/>
      <c r="BY44" s="780"/>
      <c r="BZ44" s="780"/>
      <c r="CA44" s="781"/>
      <c r="CB44" s="245"/>
      <c r="CC44" s="245"/>
    </row>
    <row r="45" spans="1:81" s="222" customFormat="1" ht="72" customHeight="1">
      <c r="A45" s="222" t="str">
        <f t="shared" si="12"/>
        <v>S</v>
      </c>
      <c r="B45" s="222">
        <f t="shared" si="13"/>
        <v>0</v>
      </c>
      <c r="C45" s="222">
        <f t="shared" ca="1" si="2"/>
        <v>5</v>
      </c>
      <c r="D45" s="222">
        <f t="shared" ca="1" si="3"/>
        <v>0</v>
      </c>
      <c r="E45" s="222">
        <f t="shared" ca="1" si="4"/>
        <v>0</v>
      </c>
      <c r="F45" s="222">
        <f t="shared" ca="1" si="5"/>
        <v>0</v>
      </c>
      <c r="G45" s="222">
        <f t="shared" ca="1" si="6"/>
        <v>5</v>
      </c>
      <c r="H45" s="222">
        <f t="shared" ca="1" si="7"/>
        <v>0</v>
      </c>
      <c r="I45" s="222">
        <f t="shared" ca="1" si="8"/>
        <v>0</v>
      </c>
      <c r="J45" s="222">
        <f t="shared" si="9"/>
        <v>1</v>
      </c>
      <c r="K45" s="269" t="s">
        <v>4</v>
      </c>
      <c r="L45" s="336" t="s">
        <v>91</v>
      </c>
      <c r="M45" s="325" t="s">
        <v>92</v>
      </c>
      <c r="N45" s="326" t="s">
        <v>93</v>
      </c>
      <c r="O45" s="327">
        <v>1</v>
      </c>
      <c r="P45" s="328">
        <v>865.73</v>
      </c>
      <c r="Q45" s="329">
        <f t="shared" si="14"/>
        <v>0</v>
      </c>
      <c r="R45" s="330">
        <f t="shared" si="20"/>
        <v>865.73</v>
      </c>
      <c r="S45" s="331">
        <f t="shared" si="21"/>
        <v>1</v>
      </c>
      <c r="T45" s="337">
        <f t="shared" si="22"/>
        <v>0</v>
      </c>
      <c r="U45" s="332">
        <f t="shared" si="23"/>
        <v>1</v>
      </c>
      <c r="V45" s="338">
        <f>IF(O45-Z45-AA45&gt;0.01,(Z45+AA45)*P45,R45)+0.01</f>
        <v>865.74</v>
      </c>
      <c r="W45" s="339">
        <f t="shared" si="25"/>
        <v>0</v>
      </c>
      <c r="X45" s="340">
        <f t="shared" si="26"/>
        <v>865.74</v>
      </c>
      <c r="Y45" s="333"/>
      <c r="Z45" s="334"/>
      <c r="AA45" s="328">
        <v>1</v>
      </c>
      <c r="AB45" s="328"/>
      <c r="AC45" s="328"/>
      <c r="AD45" s="328"/>
      <c r="AE45" s="328"/>
      <c r="AF45" s="328"/>
      <c r="AG45" s="328"/>
      <c r="AH45" s="328"/>
      <c r="AI45" s="328"/>
      <c r="AJ45" s="328"/>
      <c r="AK45" s="335"/>
      <c r="AL45" s="334"/>
      <c r="AM45" s="328"/>
      <c r="AN45" s="328"/>
      <c r="AO45" s="328"/>
      <c r="AP45" s="328"/>
      <c r="AQ45" s="271"/>
      <c r="AR45" s="271"/>
      <c r="AS45" s="271"/>
      <c r="AT45" s="271"/>
      <c r="AU45" s="271"/>
      <c r="AV45" s="271"/>
      <c r="AW45" s="272"/>
      <c r="AX45" s="245"/>
      <c r="AY45" s="273">
        <v>0</v>
      </c>
      <c r="AZ45" s="274">
        <f t="shared" si="15"/>
        <v>0</v>
      </c>
      <c r="BA45" s="275">
        <v>0</v>
      </c>
      <c r="BB45" s="276" t="e">
        <f t="shared" si="10"/>
        <v>#REF!</v>
      </c>
      <c r="BC45" s="277" t="e">
        <f t="shared" si="16"/>
        <v>#REF!</v>
      </c>
      <c r="BD45" s="278" t="e">
        <f t="shared" si="11"/>
        <v>#REF!</v>
      </c>
      <c r="BF45" s="770" t="e">
        <f t="shared" si="17"/>
        <v>#REF!</v>
      </c>
      <c r="BG45" s="771"/>
      <c r="BH45" s="279" t="e">
        <f t="shared" si="18"/>
        <v>#REF!</v>
      </c>
      <c r="BI45" s="772" t="e">
        <f t="shared" si="19"/>
        <v>#REF!</v>
      </c>
      <c r="BJ45" s="773"/>
      <c r="BK45" s="774" t="e">
        <f>IF(BR45&gt;0,CHOOSE(MATCH(RegimeExecucao,{"Unitário","Global"},0),IF($A45="S",BR45/BN45,""),(BR45/BN45)*100),"")</f>
        <v>#REF!</v>
      </c>
      <c r="BL45" s="775"/>
      <c r="BM45" s="776"/>
      <c r="BN45" s="777" t="e">
        <f>IF(BR45&gt;0,CHOOSE(MATCH(RegimeExecucao,{"Unitário","Global"},0),IF($A45="S",ROUND(P45,arredunit),""),ROUND(R45,arredtot)),"")</f>
        <v>#REF!</v>
      </c>
      <c r="BO45" s="778"/>
      <c r="BP45" s="778"/>
      <c r="BQ45" s="779"/>
      <c r="BR45" s="777" t="e">
        <f t="shared" si="1"/>
        <v>#REF!</v>
      </c>
      <c r="BS45" s="778"/>
      <c r="BT45" s="778"/>
      <c r="BU45" s="779"/>
      <c r="BV45" s="780"/>
      <c r="BW45" s="780"/>
      <c r="BX45" s="780"/>
      <c r="BY45" s="780"/>
      <c r="BZ45" s="780"/>
      <c r="CA45" s="781"/>
      <c r="CB45" s="245"/>
      <c r="CC45" s="245"/>
    </row>
    <row r="46" spans="1:81" s="222" customFormat="1" ht="13.8">
      <c r="A46" s="222">
        <f t="shared" si="12"/>
        <v>1</v>
      </c>
      <c r="B46" s="222">
        <f t="shared" ca="1" si="13"/>
        <v>4</v>
      </c>
      <c r="C46" s="222">
        <f t="shared" ca="1" si="2"/>
        <v>6</v>
      </c>
      <c r="D46" s="222">
        <f t="shared" ca="1" si="3"/>
        <v>0</v>
      </c>
      <c r="E46" s="222">
        <f t="shared" ca="1" si="4"/>
        <v>0</v>
      </c>
      <c r="F46" s="222">
        <f t="shared" ca="1" si="5"/>
        <v>0</v>
      </c>
      <c r="G46" s="222">
        <f t="shared" ca="1" si="6"/>
        <v>0</v>
      </c>
      <c r="H46" s="222">
        <f t="shared" ca="1" si="7"/>
        <v>50</v>
      </c>
      <c r="I46" s="222">
        <f t="shared" ca="1" si="8"/>
        <v>4</v>
      </c>
      <c r="J46" s="222">
        <f t="shared" si="9"/>
        <v>0</v>
      </c>
      <c r="K46" s="269" t="str">
        <f>CHOOSE(1+LOG(1+2*($J46=3)+4*($J46=2)+8*($J46=1)+16*(AND($L46&lt;&gt;"",$L46&lt;&gt;0,$J46=0))+32*OR($N46&lt;&gt;"",RegimeExecucao="Global",AND($L46="",$M46="",$N46="")),2),"","Nível 4","Nível 3","Nível 2","Meta","Serviço")</f>
        <v>Meta</v>
      </c>
      <c r="L46" s="324">
        <v>6</v>
      </c>
      <c r="M46" s="325" t="s">
        <v>94</v>
      </c>
      <c r="N46" s="326"/>
      <c r="O46" s="327"/>
      <c r="P46" s="328"/>
      <c r="Q46" s="329">
        <f t="shared" si="14"/>
        <v>1464.84</v>
      </c>
      <c r="R46" s="330">
        <f>SUM(R47:R49)</f>
        <v>1464.84</v>
      </c>
      <c r="S46" s="331">
        <f t="shared" si="21"/>
        <v>0</v>
      </c>
      <c r="T46" s="337">
        <f t="shared" si="22"/>
        <v>0</v>
      </c>
      <c r="U46" s="332">
        <f t="shared" si="23"/>
        <v>0</v>
      </c>
      <c r="V46" s="338">
        <f t="shared" si="24"/>
        <v>1464.84</v>
      </c>
      <c r="W46" s="339">
        <f>SUM(W47:W49)</f>
        <v>0</v>
      </c>
      <c r="X46" s="340">
        <f t="shared" si="26"/>
        <v>1464.84</v>
      </c>
      <c r="Y46" s="333"/>
      <c r="Z46" s="334"/>
      <c r="AA46" s="328"/>
      <c r="AB46" s="328"/>
      <c r="AC46" s="328"/>
      <c r="AD46" s="328"/>
      <c r="AE46" s="328"/>
      <c r="AF46" s="328"/>
      <c r="AG46" s="328"/>
      <c r="AH46" s="328"/>
      <c r="AI46" s="328"/>
      <c r="AJ46" s="328"/>
      <c r="AK46" s="335"/>
      <c r="AL46" s="334"/>
      <c r="AM46" s="328"/>
      <c r="AN46" s="328"/>
      <c r="AO46" s="328"/>
      <c r="AP46" s="328"/>
      <c r="AQ46" s="271"/>
      <c r="AR46" s="271"/>
      <c r="AS46" s="271"/>
      <c r="AT46" s="271"/>
      <c r="AU46" s="271"/>
      <c r="AV46" s="271"/>
      <c r="AW46" s="272"/>
      <c r="AX46" s="245"/>
      <c r="AY46" s="273">
        <v>0</v>
      </c>
      <c r="AZ46" s="274">
        <f t="shared" si="15"/>
        <v>0</v>
      </c>
      <c r="BA46" s="275">
        <v>0</v>
      </c>
      <c r="BB46" s="276" t="e">
        <f t="shared" ca="1" si="10"/>
        <v>#REF!</v>
      </c>
      <c r="BC46" s="277" t="e">
        <f t="shared" ca="1" si="16"/>
        <v>#REF!</v>
      </c>
      <c r="BD46" s="278" t="e">
        <f t="shared" ca="1" si="11"/>
        <v>#REF!</v>
      </c>
      <c r="BF46" s="770" t="e">
        <f t="shared" ca="1" si="17"/>
        <v>#REF!</v>
      </c>
      <c r="BG46" s="771"/>
      <c r="BH46" s="279" t="e">
        <f t="shared" ca="1" si="18"/>
        <v>#REF!</v>
      </c>
      <c r="BI46" s="772" t="e">
        <f t="shared" ca="1" si="19"/>
        <v>#REF!</v>
      </c>
      <c r="BJ46" s="773"/>
      <c r="BK46" s="774" t="e">
        <f ca="1">IF(BR46&gt;0,CHOOSE(MATCH(RegimeExecucao,{"Unitário","Global"},0),IF($A46="S",BR46/BN46,""),(BR46/BN46)*100),"")</f>
        <v>#REF!</v>
      </c>
      <c r="BL46" s="775"/>
      <c r="BM46" s="776"/>
      <c r="BN46" s="777" t="e">
        <f ca="1">IF(BR46&gt;0,CHOOSE(MATCH(RegimeExecucao,{"Unitário","Global"},0),IF($A46="S",ROUND(P46,arredunit),""),ROUND(R46,arredtot)),"")</f>
        <v>#REF!</v>
      </c>
      <c r="BO46" s="778"/>
      <c r="BP46" s="778"/>
      <c r="BQ46" s="779"/>
      <c r="BR46" s="777" t="e">
        <f t="shared" ca="1" si="1"/>
        <v>#REF!</v>
      </c>
      <c r="BS46" s="778"/>
      <c r="BT46" s="778"/>
      <c r="BU46" s="779"/>
      <c r="BV46" s="780"/>
      <c r="BW46" s="780"/>
      <c r="BX46" s="780"/>
      <c r="BY46" s="780"/>
      <c r="BZ46" s="780"/>
      <c r="CA46" s="781"/>
      <c r="CB46" s="245"/>
      <c r="CC46" s="245"/>
    </row>
    <row r="47" spans="1:81" s="222" customFormat="1" ht="31.8" customHeight="1">
      <c r="A47" s="222" t="str">
        <f t="shared" si="12"/>
        <v>S</v>
      </c>
      <c r="B47" s="222">
        <f t="shared" si="13"/>
        <v>0</v>
      </c>
      <c r="C47" s="222">
        <f t="shared" ca="1" si="2"/>
        <v>6</v>
      </c>
      <c r="D47" s="222">
        <f t="shared" ca="1" si="3"/>
        <v>0</v>
      </c>
      <c r="E47" s="222">
        <f t="shared" ca="1" si="4"/>
        <v>0</v>
      </c>
      <c r="F47" s="222">
        <f t="shared" ca="1" si="5"/>
        <v>0</v>
      </c>
      <c r="G47" s="222">
        <f t="shared" ca="1" si="6"/>
        <v>1</v>
      </c>
      <c r="H47" s="222">
        <f t="shared" ca="1" si="7"/>
        <v>0</v>
      </c>
      <c r="I47" s="222">
        <f t="shared" ca="1" si="8"/>
        <v>0</v>
      </c>
      <c r="J47" s="222">
        <f t="shared" si="9"/>
        <v>1</v>
      </c>
      <c r="K47" s="269" t="s">
        <v>4</v>
      </c>
      <c r="L47" s="336" t="s">
        <v>95</v>
      </c>
      <c r="M47" s="325" t="s">
        <v>96</v>
      </c>
      <c r="N47" s="326" t="s">
        <v>43</v>
      </c>
      <c r="O47" s="327">
        <v>9.3027888446215155</v>
      </c>
      <c r="P47" s="328">
        <v>10.039999999999999</v>
      </c>
      <c r="Q47" s="329">
        <f t="shared" si="14"/>
        <v>0</v>
      </c>
      <c r="R47" s="330">
        <f t="shared" si="20"/>
        <v>93.4</v>
      </c>
      <c r="S47" s="331">
        <f t="shared" si="21"/>
        <v>9.3000000000000007</v>
      </c>
      <c r="T47" s="337">
        <f t="shared" si="22"/>
        <v>0</v>
      </c>
      <c r="U47" s="332">
        <f t="shared" si="23"/>
        <v>9.3000000000000007</v>
      </c>
      <c r="V47" s="338">
        <f t="shared" si="24"/>
        <v>93.4</v>
      </c>
      <c r="W47" s="339">
        <f t="shared" si="25"/>
        <v>0</v>
      </c>
      <c r="X47" s="340">
        <f t="shared" si="26"/>
        <v>93.4</v>
      </c>
      <c r="Y47" s="333"/>
      <c r="Z47" s="334">
        <v>9.3000000000000007</v>
      </c>
      <c r="AA47" s="328"/>
      <c r="AB47" s="328"/>
      <c r="AC47" s="328"/>
      <c r="AD47" s="328"/>
      <c r="AE47" s="328"/>
      <c r="AF47" s="328"/>
      <c r="AG47" s="328"/>
      <c r="AH47" s="328"/>
      <c r="AI47" s="328"/>
      <c r="AJ47" s="328"/>
      <c r="AK47" s="335"/>
      <c r="AL47" s="334"/>
      <c r="AM47" s="328"/>
      <c r="AN47" s="328"/>
      <c r="AO47" s="328"/>
      <c r="AP47" s="328"/>
      <c r="AQ47" s="271"/>
      <c r="AR47" s="271"/>
      <c r="AS47" s="271"/>
      <c r="AT47" s="271"/>
      <c r="AU47" s="271"/>
      <c r="AV47" s="271"/>
      <c r="AW47" s="272"/>
      <c r="AX47" s="245"/>
      <c r="AY47" s="273">
        <v>0</v>
      </c>
      <c r="AZ47" s="274">
        <f t="shared" si="15"/>
        <v>0</v>
      </c>
      <c r="BA47" s="275">
        <v>0</v>
      </c>
      <c r="BB47" s="276" t="e">
        <f t="shared" si="10"/>
        <v>#REF!</v>
      </c>
      <c r="BC47" s="277" t="e">
        <f t="shared" si="16"/>
        <v>#REF!</v>
      </c>
      <c r="BD47" s="278" t="e">
        <f t="shared" si="11"/>
        <v>#REF!</v>
      </c>
      <c r="BF47" s="770" t="e">
        <f t="shared" si="17"/>
        <v>#REF!</v>
      </c>
      <c r="BG47" s="771"/>
      <c r="BH47" s="279" t="e">
        <f t="shared" si="18"/>
        <v>#REF!</v>
      </c>
      <c r="BI47" s="772" t="e">
        <f t="shared" si="19"/>
        <v>#REF!</v>
      </c>
      <c r="BJ47" s="773"/>
      <c r="BK47" s="774" t="e">
        <f>IF(BR47&gt;0,CHOOSE(MATCH(RegimeExecucao,{"Unitário","Global"},0),IF($A47="S",BR47/BN47,""),(BR47/BN47)*100),"")</f>
        <v>#REF!</v>
      </c>
      <c r="BL47" s="775"/>
      <c r="BM47" s="776"/>
      <c r="BN47" s="777" t="e">
        <f>IF(BR47&gt;0,CHOOSE(MATCH(RegimeExecucao,{"Unitário","Global"},0),IF($A47="S",ROUND(P47,arredunit),""),ROUND(R47,arredtot)),"")</f>
        <v>#REF!</v>
      </c>
      <c r="BO47" s="778"/>
      <c r="BP47" s="778"/>
      <c r="BQ47" s="779"/>
      <c r="BR47" s="777" t="e">
        <f t="shared" si="1"/>
        <v>#REF!</v>
      </c>
      <c r="BS47" s="778"/>
      <c r="BT47" s="778"/>
      <c r="BU47" s="779"/>
      <c r="BV47" s="780"/>
      <c r="BW47" s="780"/>
      <c r="BX47" s="780"/>
      <c r="BY47" s="780"/>
      <c r="BZ47" s="780"/>
      <c r="CA47" s="781"/>
      <c r="CB47" s="245"/>
      <c r="CC47" s="245"/>
    </row>
    <row r="48" spans="1:81" s="222" customFormat="1" ht="45.6" customHeight="1">
      <c r="A48" s="222" t="str">
        <f t="shared" si="12"/>
        <v>S</v>
      </c>
      <c r="B48" s="222">
        <f t="shared" si="13"/>
        <v>0</v>
      </c>
      <c r="C48" s="222">
        <f t="shared" ca="1" si="2"/>
        <v>6</v>
      </c>
      <c r="D48" s="222">
        <f t="shared" ca="1" si="3"/>
        <v>0</v>
      </c>
      <c r="E48" s="222">
        <f t="shared" ca="1" si="4"/>
        <v>0</v>
      </c>
      <c r="F48" s="222">
        <f t="shared" ca="1" si="5"/>
        <v>0</v>
      </c>
      <c r="G48" s="222">
        <f t="shared" ca="1" si="6"/>
        <v>2</v>
      </c>
      <c r="H48" s="222">
        <f t="shared" ca="1" si="7"/>
        <v>0</v>
      </c>
      <c r="I48" s="222">
        <f t="shared" ca="1" si="8"/>
        <v>0</v>
      </c>
      <c r="J48" s="222">
        <f t="shared" si="9"/>
        <v>1</v>
      </c>
      <c r="K48" s="269" t="s">
        <v>4</v>
      </c>
      <c r="L48" s="336" t="s">
        <v>97</v>
      </c>
      <c r="M48" s="325" t="s">
        <v>98</v>
      </c>
      <c r="N48" s="326" t="s">
        <v>43</v>
      </c>
      <c r="O48" s="327">
        <v>9.2996483435128621</v>
      </c>
      <c r="P48" s="328">
        <v>108.06</v>
      </c>
      <c r="Q48" s="329">
        <f t="shared" si="14"/>
        <v>0</v>
      </c>
      <c r="R48" s="330">
        <f t="shared" si="20"/>
        <v>1004.9199999999998</v>
      </c>
      <c r="S48" s="331">
        <f t="shared" si="21"/>
        <v>9.3000000000000007</v>
      </c>
      <c r="T48" s="337">
        <f t="shared" si="22"/>
        <v>0</v>
      </c>
      <c r="U48" s="332">
        <f t="shared" si="23"/>
        <v>9.3000000000000007</v>
      </c>
      <c r="V48" s="338">
        <f t="shared" si="24"/>
        <v>1004.9199999999998</v>
      </c>
      <c r="W48" s="339">
        <f t="shared" si="25"/>
        <v>0</v>
      </c>
      <c r="X48" s="340">
        <f t="shared" si="26"/>
        <v>1004.9199999999998</v>
      </c>
      <c r="Y48" s="333"/>
      <c r="Z48" s="334">
        <v>9.3000000000000007</v>
      </c>
      <c r="AA48" s="328"/>
      <c r="AB48" s="328"/>
      <c r="AC48" s="328"/>
      <c r="AD48" s="328"/>
      <c r="AE48" s="328"/>
      <c r="AF48" s="328"/>
      <c r="AG48" s="328"/>
      <c r="AH48" s="328"/>
      <c r="AI48" s="328"/>
      <c r="AJ48" s="328"/>
      <c r="AK48" s="335"/>
      <c r="AL48" s="334"/>
      <c r="AM48" s="328"/>
      <c r="AN48" s="328"/>
      <c r="AO48" s="328"/>
      <c r="AP48" s="328"/>
      <c r="AQ48" s="271"/>
      <c r="AR48" s="271"/>
      <c r="AS48" s="271"/>
      <c r="AT48" s="271"/>
      <c r="AU48" s="271"/>
      <c r="AV48" s="271"/>
      <c r="AW48" s="272"/>
      <c r="AX48" s="245"/>
      <c r="AY48" s="273">
        <v>0</v>
      </c>
      <c r="AZ48" s="274">
        <f t="shared" si="15"/>
        <v>0</v>
      </c>
      <c r="BA48" s="275">
        <v>0</v>
      </c>
      <c r="BB48" s="276" t="e">
        <f t="shared" si="10"/>
        <v>#REF!</v>
      </c>
      <c r="BC48" s="277" t="e">
        <f t="shared" si="16"/>
        <v>#REF!</v>
      </c>
      <c r="BD48" s="278" t="e">
        <f t="shared" si="11"/>
        <v>#REF!</v>
      </c>
      <c r="BF48" s="770" t="e">
        <f t="shared" si="17"/>
        <v>#REF!</v>
      </c>
      <c r="BG48" s="771"/>
      <c r="BH48" s="279" t="e">
        <f t="shared" si="18"/>
        <v>#REF!</v>
      </c>
      <c r="BI48" s="772" t="e">
        <f t="shared" si="19"/>
        <v>#REF!</v>
      </c>
      <c r="BJ48" s="773"/>
      <c r="BK48" s="774" t="e">
        <f>IF(BR48&gt;0,CHOOSE(MATCH(RegimeExecucao,{"Unitário","Global"},0),IF($A48="S",BR48/BN48,""),(BR48/BN48)*100),"")</f>
        <v>#REF!</v>
      </c>
      <c r="BL48" s="775"/>
      <c r="BM48" s="776"/>
      <c r="BN48" s="777" t="e">
        <f>IF(BR48&gt;0,CHOOSE(MATCH(RegimeExecucao,{"Unitário","Global"},0),IF($A48="S",ROUND(P48,arredunit),""),ROUND(R48,arredtot)),"")</f>
        <v>#REF!</v>
      </c>
      <c r="BO48" s="778"/>
      <c r="BP48" s="778"/>
      <c r="BQ48" s="779"/>
      <c r="BR48" s="777" t="e">
        <f t="shared" si="1"/>
        <v>#REF!</v>
      </c>
      <c r="BS48" s="778"/>
      <c r="BT48" s="778"/>
      <c r="BU48" s="779"/>
      <c r="BV48" s="780"/>
      <c r="BW48" s="780"/>
      <c r="BX48" s="780"/>
      <c r="BY48" s="780"/>
      <c r="BZ48" s="780"/>
      <c r="CA48" s="781"/>
      <c r="CB48" s="245"/>
      <c r="CC48" s="245"/>
    </row>
    <row r="49" spans="1:81" s="222" customFormat="1" ht="31.2" customHeight="1">
      <c r="A49" s="222" t="str">
        <f t="shared" si="12"/>
        <v>S</v>
      </c>
      <c r="B49" s="222">
        <f t="shared" si="13"/>
        <v>0</v>
      </c>
      <c r="C49" s="222">
        <f t="shared" ca="1" si="2"/>
        <v>6</v>
      </c>
      <c r="D49" s="222">
        <f t="shared" ca="1" si="3"/>
        <v>0</v>
      </c>
      <c r="E49" s="222">
        <f t="shared" ca="1" si="4"/>
        <v>0</v>
      </c>
      <c r="F49" s="222">
        <f t="shared" ca="1" si="5"/>
        <v>0</v>
      </c>
      <c r="G49" s="222">
        <f t="shared" ca="1" si="6"/>
        <v>3</v>
      </c>
      <c r="H49" s="222">
        <f t="shared" ca="1" si="7"/>
        <v>0</v>
      </c>
      <c r="I49" s="222">
        <f t="shared" ca="1" si="8"/>
        <v>0</v>
      </c>
      <c r="J49" s="222">
        <f t="shared" si="9"/>
        <v>1</v>
      </c>
      <c r="K49" s="269" t="s">
        <v>4</v>
      </c>
      <c r="L49" s="336" t="s">
        <v>99</v>
      </c>
      <c r="M49" s="325" t="s">
        <v>100</v>
      </c>
      <c r="N49" s="326" t="s">
        <v>59</v>
      </c>
      <c r="O49" s="327">
        <v>12.399188092016239</v>
      </c>
      <c r="P49" s="328">
        <v>29.56</v>
      </c>
      <c r="Q49" s="329">
        <f t="shared" si="14"/>
        <v>0</v>
      </c>
      <c r="R49" s="330">
        <f t="shared" si="20"/>
        <v>366.52</v>
      </c>
      <c r="S49" s="331">
        <f t="shared" si="21"/>
        <v>12.4</v>
      </c>
      <c r="T49" s="337">
        <f t="shared" si="22"/>
        <v>0</v>
      </c>
      <c r="U49" s="332">
        <f t="shared" si="23"/>
        <v>12.4</v>
      </c>
      <c r="V49" s="338">
        <f t="shared" si="24"/>
        <v>366.52</v>
      </c>
      <c r="W49" s="339">
        <f t="shared" si="25"/>
        <v>0</v>
      </c>
      <c r="X49" s="340">
        <f t="shared" si="26"/>
        <v>366.52</v>
      </c>
      <c r="Y49" s="333"/>
      <c r="Z49" s="334">
        <v>12.4</v>
      </c>
      <c r="AA49" s="328"/>
      <c r="AB49" s="328"/>
      <c r="AC49" s="328"/>
      <c r="AD49" s="328"/>
      <c r="AE49" s="328"/>
      <c r="AF49" s="328"/>
      <c r="AG49" s="328"/>
      <c r="AH49" s="328"/>
      <c r="AI49" s="328"/>
      <c r="AJ49" s="328"/>
      <c r="AK49" s="335"/>
      <c r="AL49" s="334"/>
      <c r="AM49" s="328"/>
      <c r="AN49" s="328"/>
      <c r="AO49" s="328"/>
      <c r="AP49" s="328"/>
      <c r="AQ49" s="271"/>
      <c r="AR49" s="271"/>
      <c r="AS49" s="271"/>
      <c r="AT49" s="271"/>
      <c r="AU49" s="271"/>
      <c r="AV49" s="271"/>
      <c r="AW49" s="272"/>
      <c r="AX49" s="245"/>
      <c r="AY49" s="273">
        <v>0</v>
      </c>
      <c r="AZ49" s="274">
        <f t="shared" si="15"/>
        <v>0</v>
      </c>
      <c r="BA49" s="275">
        <v>0</v>
      </c>
      <c r="BB49" s="276" t="e">
        <f t="shared" si="10"/>
        <v>#REF!</v>
      </c>
      <c r="BC49" s="277" t="e">
        <f t="shared" si="16"/>
        <v>#REF!</v>
      </c>
      <c r="BD49" s="278" t="e">
        <f t="shared" si="11"/>
        <v>#REF!</v>
      </c>
      <c r="BF49" s="770" t="e">
        <f t="shared" si="17"/>
        <v>#REF!</v>
      </c>
      <c r="BG49" s="771"/>
      <c r="BH49" s="279" t="e">
        <f t="shared" si="18"/>
        <v>#REF!</v>
      </c>
      <c r="BI49" s="772" t="e">
        <f t="shared" si="19"/>
        <v>#REF!</v>
      </c>
      <c r="BJ49" s="773"/>
      <c r="BK49" s="774" t="e">
        <f>IF(BR49&gt;0,CHOOSE(MATCH(RegimeExecucao,{"Unitário","Global"},0),IF($A49="S",BR49/BN49,""),(BR49/BN49)*100),"")</f>
        <v>#REF!</v>
      </c>
      <c r="BL49" s="775"/>
      <c r="BM49" s="776"/>
      <c r="BN49" s="777" t="e">
        <f>IF(BR49&gt;0,CHOOSE(MATCH(RegimeExecucao,{"Unitário","Global"},0),IF($A49="S",ROUND(P49,arredunit),""),ROUND(R49,arredtot)),"")</f>
        <v>#REF!</v>
      </c>
      <c r="BO49" s="778"/>
      <c r="BP49" s="778"/>
      <c r="BQ49" s="779"/>
      <c r="BR49" s="777" t="e">
        <f t="shared" si="1"/>
        <v>#REF!</v>
      </c>
      <c r="BS49" s="778"/>
      <c r="BT49" s="778"/>
      <c r="BU49" s="779"/>
      <c r="BV49" s="780"/>
      <c r="BW49" s="780"/>
      <c r="BX49" s="780"/>
      <c r="BY49" s="780"/>
      <c r="BZ49" s="780"/>
      <c r="CA49" s="781"/>
      <c r="CB49" s="245"/>
      <c r="CC49" s="245"/>
    </row>
    <row r="50" spans="1:81" s="222" customFormat="1" ht="13.8">
      <c r="A50" s="222">
        <f t="shared" si="12"/>
        <v>1</v>
      </c>
      <c r="B50" s="222">
        <f t="shared" ca="1" si="13"/>
        <v>8</v>
      </c>
      <c r="C50" s="222">
        <f t="shared" ca="1" si="2"/>
        <v>7</v>
      </c>
      <c r="D50" s="222">
        <f t="shared" ca="1" si="3"/>
        <v>0</v>
      </c>
      <c r="E50" s="222">
        <f t="shared" ca="1" si="4"/>
        <v>0</v>
      </c>
      <c r="F50" s="222">
        <f t="shared" ca="1" si="5"/>
        <v>0</v>
      </c>
      <c r="G50" s="222">
        <f t="shared" ca="1" si="6"/>
        <v>0</v>
      </c>
      <c r="H50" s="222">
        <f t="shared" ca="1" si="7"/>
        <v>46</v>
      </c>
      <c r="I50" s="222">
        <f t="shared" ca="1" si="8"/>
        <v>8</v>
      </c>
      <c r="J50" s="222">
        <f t="shared" si="9"/>
        <v>0</v>
      </c>
      <c r="K50" s="269" t="str">
        <f>CHOOSE(1+LOG(1+2*($J50=3)+4*($J50=2)+8*($J50=1)+16*(AND($L50&lt;&gt;"",$L50&lt;&gt;0,$J50=0))+32*OR($N50&lt;&gt;"",RegimeExecucao="Global",AND($L50="",$M50="",$N50="")),2),"","Nível 4","Nível 3","Nível 2","Meta","Serviço")</f>
        <v>Meta</v>
      </c>
      <c r="L50" s="324">
        <v>7</v>
      </c>
      <c r="M50" s="325" t="s">
        <v>101</v>
      </c>
      <c r="N50" s="326"/>
      <c r="O50" s="327"/>
      <c r="P50" s="328"/>
      <c r="Q50" s="329">
        <f t="shared" si="14"/>
        <v>5837.2699999999995</v>
      </c>
      <c r="R50" s="330">
        <f>R51</f>
        <v>5837.2699999999995</v>
      </c>
      <c r="S50" s="331">
        <f t="shared" si="21"/>
        <v>0</v>
      </c>
      <c r="T50" s="337">
        <f t="shared" si="22"/>
        <v>0</v>
      </c>
      <c r="U50" s="332">
        <f t="shared" si="23"/>
        <v>0</v>
      </c>
      <c r="V50" s="338">
        <f t="shared" si="24"/>
        <v>5837.2699999999995</v>
      </c>
      <c r="W50" s="339">
        <f>W51</f>
        <v>0</v>
      </c>
      <c r="X50" s="340">
        <f t="shared" si="26"/>
        <v>5837.2699999999995</v>
      </c>
      <c r="Y50" s="333"/>
      <c r="Z50" s="334"/>
      <c r="AA50" s="328"/>
      <c r="AB50" s="328"/>
      <c r="AC50" s="328"/>
      <c r="AD50" s="328"/>
      <c r="AE50" s="328"/>
      <c r="AF50" s="328"/>
      <c r="AG50" s="328"/>
      <c r="AH50" s="328"/>
      <c r="AI50" s="328"/>
      <c r="AJ50" s="328"/>
      <c r="AK50" s="335"/>
      <c r="AL50" s="334"/>
      <c r="AM50" s="328"/>
      <c r="AN50" s="328"/>
      <c r="AO50" s="328"/>
      <c r="AP50" s="328"/>
      <c r="AQ50" s="271"/>
      <c r="AR50" s="271"/>
      <c r="AS50" s="271"/>
      <c r="AT50" s="271"/>
      <c r="AU50" s="271"/>
      <c r="AV50" s="271"/>
      <c r="AW50" s="272"/>
      <c r="AX50" s="245"/>
      <c r="AY50" s="273">
        <v>0</v>
      </c>
      <c r="AZ50" s="274">
        <f t="shared" si="15"/>
        <v>0</v>
      </c>
      <c r="BA50" s="275">
        <v>0</v>
      </c>
      <c r="BB50" s="276" t="e">
        <f t="shared" ca="1" si="10"/>
        <v>#REF!</v>
      </c>
      <c r="BC50" s="277" t="e">
        <f t="shared" ca="1" si="16"/>
        <v>#REF!</v>
      </c>
      <c r="BD50" s="278" t="e">
        <f t="shared" ca="1" si="11"/>
        <v>#REF!</v>
      </c>
      <c r="BF50" s="770" t="e">
        <f t="shared" ca="1" si="17"/>
        <v>#REF!</v>
      </c>
      <c r="BG50" s="771"/>
      <c r="BH50" s="279" t="e">
        <f t="shared" ca="1" si="18"/>
        <v>#REF!</v>
      </c>
      <c r="BI50" s="772" t="e">
        <f t="shared" ca="1" si="19"/>
        <v>#REF!</v>
      </c>
      <c r="BJ50" s="773"/>
      <c r="BK50" s="774" t="e">
        <f ca="1">IF(BR50&gt;0,CHOOSE(MATCH(RegimeExecucao,{"Unitário","Global"},0),IF($A50="S",BR50/BN50,""),(BR50/BN50)*100),"")</f>
        <v>#REF!</v>
      </c>
      <c r="BL50" s="775"/>
      <c r="BM50" s="776"/>
      <c r="BN50" s="777" t="e">
        <f ca="1">IF(BR50&gt;0,CHOOSE(MATCH(RegimeExecucao,{"Unitário","Global"},0),IF($A50="S",ROUND(P50,arredunit),""),ROUND(R50,arredtot)),"")</f>
        <v>#REF!</v>
      </c>
      <c r="BO50" s="778"/>
      <c r="BP50" s="778"/>
      <c r="BQ50" s="779"/>
      <c r="BR50" s="777" t="e">
        <f t="shared" ca="1" si="1"/>
        <v>#REF!</v>
      </c>
      <c r="BS50" s="778"/>
      <c r="BT50" s="778"/>
      <c r="BU50" s="779"/>
      <c r="BV50" s="780"/>
      <c r="BW50" s="780"/>
      <c r="BX50" s="780"/>
      <c r="BY50" s="780"/>
      <c r="BZ50" s="780"/>
      <c r="CA50" s="781"/>
      <c r="CB50" s="245"/>
      <c r="CC50" s="245"/>
    </row>
    <row r="51" spans="1:81" s="222" customFormat="1" ht="13.8">
      <c r="A51" s="222">
        <f t="shared" si="12"/>
        <v>2</v>
      </c>
      <c r="B51" s="222">
        <f t="shared" ca="1" si="13"/>
        <v>7</v>
      </c>
      <c r="C51" s="222">
        <f t="shared" ca="1" si="2"/>
        <v>7</v>
      </c>
      <c r="D51" s="222">
        <f t="shared" ca="1" si="3"/>
        <v>1</v>
      </c>
      <c r="E51" s="222">
        <f t="shared" ca="1" si="4"/>
        <v>0</v>
      </c>
      <c r="F51" s="222">
        <f t="shared" ca="1" si="5"/>
        <v>0</v>
      </c>
      <c r="G51" s="222">
        <f t="shared" ca="1" si="6"/>
        <v>0</v>
      </c>
      <c r="H51" s="222">
        <f t="shared" ca="1" si="7"/>
        <v>7</v>
      </c>
      <c r="I51" s="222">
        <f t="shared" ca="1" si="8"/>
        <v>11</v>
      </c>
      <c r="J51" s="222">
        <f t="shared" si="9"/>
        <v>1</v>
      </c>
      <c r="K51" s="269" t="str">
        <f>CHOOSE(1+LOG(1+2*($J51=3)+4*($J51=2)+8*($J51=1)+16*(AND($L51&lt;&gt;"",$L51&lt;&gt;0,$J51=0))+32*OR($N51&lt;&gt;"",RegimeExecucao="Global",AND($L51="",$M51="",$N51="")),2),"","Nível 4","Nível 3","Nível 2","Meta","Serviço")</f>
        <v>Nível 2</v>
      </c>
      <c r="L51" s="336" t="s">
        <v>102</v>
      </c>
      <c r="M51" s="325" t="s">
        <v>103</v>
      </c>
      <c r="N51" s="326"/>
      <c r="O51" s="327"/>
      <c r="P51" s="328"/>
      <c r="Q51" s="329">
        <f t="shared" si="14"/>
        <v>5837.2699999999995</v>
      </c>
      <c r="R51" s="330">
        <f>SUM(R52:R57)</f>
        <v>5837.2699999999995</v>
      </c>
      <c r="S51" s="331">
        <f t="shared" si="21"/>
        <v>0</v>
      </c>
      <c r="T51" s="337">
        <f t="shared" si="22"/>
        <v>0</v>
      </c>
      <c r="U51" s="332">
        <f t="shared" si="23"/>
        <v>0</v>
      </c>
      <c r="V51" s="338">
        <f t="shared" si="24"/>
        <v>5837.2699999999995</v>
      </c>
      <c r="W51" s="339">
        <f>SUM(W52:W57)</f>
        <v>0</v>
      </c>
      <c r="X51" s="340">
        <f t="shared" si="26"/>
        <v>5837.2699999999995</v>
      </c>
      <c r="Y51" s="333"/>
      <c r="Z51" s="334"/>
      <c r="AA51" s="328"/>
      <c r="AB51" s="328"/>
      <c r="AC51" s="328"/>
      <c r="AD51" s="328"/>
      <c r="AE51" s="328"/>
      <c r="AF51" s="328"/>
      <c r="AG51" s="328"/>
      <c r="AH51" s="328"/>
      <c r="AI51" s="328"/>
      <c r="AJ51" s="328"/>
      <c r="AK51" s="335"/>
      <c r="AL51" s="334"/>
      <c r="AM51" s="328"/>
      <c r="AN51" s="328"/>
      <c r="AO51" s="328"/>
      <c r="AP51" s="328"/>
      <c r="AQ51" s="271"/>
      <c r="AR51" s="271"/>
      <c r="AS51" s="271"/>
      <c r="AT51" s="271"/>
      <c r="AU51" s="271"/>
      <c r="AV51" s="271"/>
      <c r="AW51" s="272"/>
      <c r="AX51" s="245"/>
      <c r="AY51" s="273">
        <v>0</v>
      </c>
      <c r="AZ51" s="274">
        <f t="shared" si="15"/>
        <v>0</v>
      </c>
      <c r="BA51" s="275">
        <v>0</v>
      </c>
      <c r="BB51" s="276" t="e">
        <f t="shared" ca="1" si="10"/>
        <v>#REF!</v>
      </c>
      <c r="BC51" s="277" t="e">
        <f t="shared" ca="1" si="16"/>
        <v>#REF!</v>
      </c>
      <c r="BD51" s="278" t="e">
        <f t="shared" ca="1" si="11"/>
        <v>#REF!</v>
      </c>
      <c r="BF51" s="770" t="e">
        <f t="shared" ca="1" si="17"/>
        <v>#REF!</v>
      </c>
      <c r="BG51" s="771"/>
      <c r="BH51" s="279" t="e">
        <f t="shared" ca="1" si="18"/>
        <v>#REF!</v>
      </c>
      <c r="BI51" s="772" t="e">
        <f t="shared" ca="1" si="19"/>
        <v>#REF!</v>
      </c>
      <c r="BJ51" s="773"/>
      <c r="BK51" s="774" t="e">
        <f ca="1">IF(BR51&gt;0,CHOOSE(MATCH(RegimeExecucao,{"Unitário","Global"},0),IF($A51="S",BR51/BN51,""),(BR51/BN51)*100),"")</f>
        <v>#REF!</v>
      </c>
      <c r="BL51" s="775"/>
      <c r="BM51" s="776"/>
      <c r="BN51" s="777" t="e">
        <f ca="1">IF(BR51&gt;0,CHOOSE(MATCH(RegimeExecucao,{"Unitário","Global"},0),IF($A51="S",ROUND(P51,arredunit),""),ROUND(R51,arredtot)),"")</f>
        <v>#REF!</v>
      </c>
      <c r="BO51" s="778"/>
      <c r="BP51" s="778"/>
      <c r="BQ51" s="779"/>
      <c r="BR51" s="777" t="e">
        <f t="shared" ca="1" si="1"/>
        <v>#REF!</v>
      </c>
      <c r="BS51" s="778"/>
      <c r="BT51" s="778"/>
      <c r="BU51" s="779"/>
      <c r="BV51" s="780"/>
      <c r="BW51" s="780"/>
      <c r="BX51" s="780"/>
      <c r="BY51" s="780"/>
      <c r="BZ51" s="780"/>
      <c r="CA51" s="781"/>
      <c r="CB51" s="245"/>
      <c r="CC51" s="245"/>
    </row>
    <row r="52" spans="1:81" s="222" customFormat="1" ht="30.6" customHeight="1">
      <c r="A52" s="222" t="str">
        <f t="shared" si="12"/>
        <v>S</v>
      </c>
      <c r="B52" s="222">
        <f t="shared" si="13"/>
        <v>0</v>
      </c>
      <c r="C52" s="222">
        <f t="shared" ca="1" si="2"/>
        <v>7</v>
      </c>
      <c r="D52" s="222">
        <f t="shared" ca="1" si="3"/>
        <v>1</v>
      </c>
      <c r="E52" s="222">
        <f t="shared" ca="1" si="4"/>
        <v>0</v>
      </c>
      <c r="F52" s="222">
        <f t="shared" ca="1" si="5"/>
        <v>0</v>
      </c>
      <c r="G52" s="222">
        <f t="shared" ca="1" si="6"/>
        <v>1</v>
      </c>
      <c r="H52" s="222">
        <f t="shared" ca="1" si="7"/>
        <v>0</v>
      </c>
      <c r="I52" s="222">
        <f t="shared" ca="1" si="8"/>
        <v>0</v>
      </c>
      <c r="J52" s="222">
        <f t="shared" si="9"/>
        <v>2</v>
      </c>
      <c r="K52" s="269" t="s">
        <v>4</v>
      </c>
      <c r="L52" s="336" t="s">
        <v>104</v>
      </c>
      <c r="M52" s="325" t="s">
        <v>105</v>
      </c>
      <c r="N52" s="326" t="s">
        <v>93</v>
      </c>
      <c r="O52" s="327">
        <v>1</v>
      </c>
      <c r="P52" s="328">
        <v>623.73</v>
      </c>
      <c r="Q52" s="329">
        <f t="shared" si="14"/>
        <v>0</v>
      </c>
      <c r="R52" s="330">
        <f t="shared" si="20"/>
        <v>623.73</v>
      </c>
      <c r="S52" s="331">
        <f t="shared" si="21"/>
        <v>1</v>
      </c>
      <c r="T52" s="337">
        <f t="shared" si="22"/>
        <v>0</v>
      </c>
      <c r="U52" s="332">
        <f t="shared" si="23"/>
        <v>1</v>
      </c>
      <c r="V52" s="338">
        <f t="shared" si="24"/>
        <v>623.73</v>
      </c>
      <c r="W52" s="339">
        <f t="shared" si="25"/>
        <v>0</v>
      </c>
      <c r="X52" s="340">
        <f t="shared" si="26"/>
        <v>623.73</v>
      </c>
      <c r="Y52" s="333"/>
      <c r="Z52" s="334"/>
      <c r="AA52" s="328">
        <v>1</v>
      </c>
      <c r="AB52" s="328"/>
      <c r="AC52" s="328"/>
      <c r="AD52" s="328"/>
      <c r="AE52" s="328"/>
      <c r="AF52" s="328"/>
      <c r="AG52" s="328"/>
      <c r="AH52" s="328"/>
      <c r="AI52" s="328"/>
      <c r="AJ52" s="328"/>
      <c r="AK52" s="335"/>
      <c r="AL52" s="334"/>
      <c r="AM52" s="328"/>
      <c r="AN52" s="328"/>
      <c r="AO52" s="328"/>
      <c r="AP52" s="328"/>
      <c r="AQ52" s="271"/>
      <c r="AR52" s="271"/>
      <c r="AS52" s="271"/>
      <c r="AT52" s="271"/>
      <c r="AU52" s="271"/>
      <c r="AV52" s="271"/>
      <c r="AW52" s="272"/>
      <c r="AX52" s="245"/>
      <c r="AY52" s="273">
        <v>0</v>
      </c>
      <c r="AZ52" s="274">
        <f t="shared" si="15"/>
        <v>0</v>
      </c>
      <c r="BA52" s="275">
        <v>0</v>
      </c>
      <c r="BB52" s="276" t="e">
        <f t="shared" si="10"/>
        <v>#REF!</v>
      </c>
      <c r="BC52" s="277" t="e">
        <f t="shared" si="16"/>
        <v>#REF!</v>
      </c>
      <c r="BD52" s="278" t="e">
        <f t="shared" si="11"/>
        <v>#REF!</v>
      </c>
      <c r="BF52" s="770" t="e">
        <f t="shared" si="17"/>
        <v>#REF!</v>
      </c>
      <c r="BG52" s="771"/>
      <c r="BH52" s="279" t="e">
        <f t="shared" si="18"/>
        <v>#REF!</v>
      </c>
      <c r="BI52" s="772" t="e">
        <f t="shared" si="19"/>
        <v>#REF!</v>
      </c>
      <c r="BJ52" s="773"/>
      <c r="BK52" s="774" t="e">
        <f>IF(BR52&gt;0,CHOOSE(MATCH(RegimeExecucao,{"Unitário","Global"},0),IF($A52="S",BR52/BN52,""),(BR52/BN52)*100),"")</f>
        <v>#REF!</v>
      </c>
      <c r="BL52" s="775"/>
      <c r="BM52" s="776"/>
      <c r="BN52" s="777" t="e">
        <f>IF(BR52&gt;0,CHOOSE(MATCH(RegimeExecucao,{"Unitário","Global"},0),IF($A52="S",ROUND(P52,arredunit),""),ROUND(R52,arredtot)),"")</f>
        <v>#REF!</v>
      </c>
      <c r="BO52" s="778"/>
      <c r="BP52" s="778"/>
      <c r="BQ52" s="779"/>
      <c r="BR52" s="777" t="e">
        <f t="shared" si="1"/>
        <v>#REF!</v>
      </c>
      <c r="BS52" s="778"/>
      <c r="BT52" s="778"/>
      <c r="BU52" s="779"/>
      <c r="BV52" s="780"/>
      <c r="BW52" s="780"/>
      <c r="BX52" s="780"/>
      <c r="BY52" s="780"/>
      <c r="BZ52" s="780"/>
      <c r="CA52" s="781"/>
      <c r="CB52" s="245"/>
      <c r="CC52" s="245"/>
    </row>
    <row r="53" spans="1:81" s="222" customFormat="1" ht="55.2">
      <c r="A53" s="222" t="str">
        <f t="shared" si="12"/>
        <v>S</v>
      </c>
      <c r="B53" s="222">
        <f t="shared" si="13"/>
        <v>0</v>
      </c>
      <c r="C53" s="222">
        <f t="shared" ca="1" si="2"/>
        <v>7</v>
      </c>
      <c r="D53" s="222">
        <f t="shared" ca="1" si="3"/>
        <v>1</v>
      </c>
      <c r="E53" s="222">
        <f t="shared" ca="1" si="4"/>
        <v>0</v>
      </c>
      <c r="F53" s="222">
        <f t="shared" ca="1" si="5"/>
        <v>0</v>
      </c>
      <c r="G53" s="222">
        <f t="shared" ca="1" si="6"/>
        <v>2</v>
      </c>
      <c r="H53" s="222">
        <f t="shared" ca="1" si="7"/>
        <v>0</v>
      </c>
      <c r="I53" s="222">
        <f t="shared" ca="1" si="8"/>
        <v>0</v>
      </c>
      <c r="J53" s="222">
        <f t="shared" si="9"/>
        <v>2</v>
      </c>
      <c r="K53" s="269" t="s">
        <v>4</v>
      </c>
      <c r="L53" s="336" t="s">
        <v>106</v>
      </c>
      <c r="M53" s="325" t="s">
        <v>107</v>
      </c>
      <c r="N53" s="326" t="s">
        <v>93</v>
      </c>
      <c r="O53" s="327">
        <v>2</v>
      </c>
      <c r="P53" s="328">
        <v>139.47999999999999</v>
      </c>
      <c r="Q53" s="329">
        <f t="shared" si="14"/>
        <v>0</v>
      </c>
      <c r="R53" s="330">
        <f t="shared" si="20"/>
        <v>278.95999999999998</v>
      </c>
      <c r="S53" s="331">
        <f t="shared" si="21"/>
        <v>2</v>
      </c>
      <c r="T53" s="337">
        <f t="shared" si="22"/>
        <v>0</v>
      </c>
      <c r="U53" s="332">
        <f t="shared" si="23"/>
        <v>2</v>
      </c>
      <c r="V53" s="338">
        <f t="shared" si="24"/>
        <v>278.95999999999998</v>
      </c>
      <c r="W53" s="339">
        <f t="shared" si="25"/>
        <v>0</v>
      </c>
      <c r="X53" s="340">
        <f t="shared" si="26"/>
        <v>278.95999999999998</v>
      </c>
      <c r="Y53" s="333"/>
      <c r="Z53" s="334"/>
      <c r="AA53" s="328">
        <v>2</v>
      </c>
      <c r="AB53" s="328"/>
      <c r="AC53" s="328"/>
      <c r="AD53" s="328"/>
      <c r="AE53" s="328"/>
      <c r="AF53" s="328"/>
      <c r="AG53" s="328"/>
      <c r="AH53" s="328"/>
      <c r="AI53" s="328"/>
      <c r="AJ53" s="328"/>
      <c r="AK53" s="335"/>
      <c r="AL53" s="334"/>
      <c r="AM53" s="328"/>
      <c r="AN53" s="328"/>
      <c r="AO53" s="328"/>
      <c r="AP53" s="328"/>
      <c r="AQ53" s="271"/>
      <c r="AR53" s="271"/>
      <c r="AS53" s="271"/>
      <c r="AT53" s="271"/>
      <c r="AU53" s="271"/>
      <c r="AV53" s="271"/>
      <c r="AW53" s="272"/>
      <c r="AX53" s="245"/>
      <c r="AY53" s="273">
        <v>0</v>
      </c>
      <c r="AZ53" s="274">
        <f t="shared" si="15"/>
        <v>0</v>
      </c>
      <c r="BA53" s="275">
        <v>0</v>
      </c>
      <c r="BB53" s="276" t="e">
        <f t="shared" si="10"/>
        <v>#REF!</v>
      </c>
      <c r="BC53" s="277" t="e">
        <f t="shared" si="16"/>
        <v>#REF!</v>
      </c>
      <c r="BD53" s="278" t="e">
        <f t="shared" si="11"/>
        <v>#REF!</v>
      </c>
      <c r="BF53" s="770" t="e">
        <f t="shared" si="17"/>
        <v>#REF!</v>
      </c>
      <c r="BG53" s="771"/>
      <c r="BH53" s="279" t="e">
        <f t="shared" si="18"/>
        <v>#REF!</v>
      </c>
      <c r="BI53" s="772" t="e">
        <f t="shared" si="19"/>
        <v>#REF!</v>
      </c>
      <c r="BJ53" s="773"/>
      <c r="BK53" s="774" t="e">
        <f>IF(BR53&gt;0,CHOOSE(MATCH(RegimeExecucao,{"Unitário","Global"},0),IF($A53="S",BR53/BN53,""),(BR53/BN53)*100),"")</f>
        <v>#REF!</v>
      </c>
      <c r="BL53" s="775"/>
      <c r="BM53" s="776"/>
      <c r="BN53" s="777" t="e">
        <f>IF(BR53&gt;0,CHOOSE(MATCH(RegimeExecucao,{"Unitário","Global"},0),IF($A53="S",ROUND(P53,arredunit),""),ROUND(R53,arredtot)),"")</f>
        <v>#REF!</v>
      </c>
      <c r="BO53" s="778"/>
      <c r="BP53" s="778"/>
      <c r="BQ53" s="779"/>
      <c r="BR53" s="777" t="e">
        <f t="shared" si="1"/>
        <v>#REF!</v>
      </c>
      <c r="BS53" s="778"/>
      <c r="BT53" s="778"/>
      <c r="BU53" s="779"/>
      <c r="BV53" s="780"/>
      <c r="BW53" s="780"/>
      <c r="BX53" s="780"/>
      <c r="BY53" s="780"/>
      <c r="BZ53" s="780"/>
      <c r="CA53" s="781"/>
      <c r="CB53" s="245"/>
      <c r="CC53" s="245"/>
    </row>
    <row r="54" spans="1:81" s="222" customFormat="1" ht="19.2" customHeight="1">
      <c r="A54" s="222" t="str">
        <f t="shared" si="12"/>
        <v>S</v>
      </c>
      <c r="B54" s="222">
        <f t="shared" si="13"/>
        <v>0</v>
      </c>
      <c r="C54" s="222">
        <f t="shared" ca="1" si="2"/>
        <v>7</v>
      </c>
      <c r="D54" s="222">
        <f t="shared" ca="1" si="3"/>
        <v>1</v>
      </c>
      <c r="E54" s="222">
        <f t="shared" ca="1" si="4"/>
        <v>0</v>
      </c>
      <c r="F54" s="222">
        <f t="shared" ca="1" si="5"/>
        <v>0</v>
      </c>
      <c r="G54" s="222">
        <f t="shared" ca="1" si="6"/>
        <v>3</v>
      </c>
      <c r="H54" s="222">
        <f t="shared" ca="1" si="7"/>
        <v>0</v>
      </c>
      <c r="I54" s="222">
        <f t="shared" ca="1" si="8"/>
        <v>0</v>
      </c>
      <c r="J54" s="222">
        <f t="shared" si="9"/>
        <v>2</v>
      </c>
      <c r="K54" s="269" t="s">
        <v>4</v>
      </c>
      <c r="L54" s="336" t="s">
        <v>108</v>
      </c>
      <c r="M54" s="325" t="s">
        <v>109</v>
      </c>
      <c r="N54" s="326" t="s">
        <v>93</v>
      </c>
      <c r="O54" s="327">
        <v>1</v>
      </c>
      <c r="P54" s="328">
        <v>42.55</v>
      </c>
      <c r="Q54" s="329">
        <f t="shared" si="14"/>
        <v>0</v>
      </c>
      <c r="R54" s="330">
        <f t="shared" si="20"/>
        <v>42.55</v>
      </c>
      <c r="S54" s="331">
        <f t="shared" si="21"/>
        <v>0</v>
      </c>
      <c r="T54" s="337">
        <f t="shared" si="22"/>
        <v>0</v>
      </c>
      <c r="U54" s="332">
        <f t="shared" si="23"/>
        <v>0</v>
      </c>
      <c r="V54" s="338">
        <f t="shared" si="24"/>
        <v>0</v>
      </c>
      <c r="W54" s="339">
        <f t="shared" si="25"/>
        <v>0</v>
      </c>
      <c r="X54" s="340">
        <f t="shared" si="26"/>
        <v>0</v>
      </c>
      <c r="Y54" s="333"/>
      <c r="Z54" s="334"/>
      <c r="AA54" s="328"/>
      <c r="AB54" s="328"/>
      <c r="AC54" s="328"/>
      <c r="AD54" s="328"/>
      <c r="AE54" s="328"/>
      <c r="AF54" s="328"/>
      <c r="AG54" s="328"/>
      <c r="AH54" s="328"/>
      <c r="AI54" s="328"/>
      <c r="AJ54" s="328"/>
      <c r="AK54" s="335"/>
      <c r="AL54" s="334"/>
      <c r="AM54" s="328"/>
      <c r="AN54" s="328"/>
      <c r="AO54" s="328"/>
      <c r="AP54" s="328"/>
      <c r="AQ54" s="271"/>
      <c r="AR54" s="271"/>
      <c r="AS54" s="271"/>
      <c r="AT54" s="271"/>
      <c r="AU54" s="271"/>
      <c r="AV54" s="271"/>
      <c r="AW54" s="272"/>
      <c r="AX54" s="245"/>
      <c r="AY54" s="273">
        <v>0</v>
      </c>
      <c r="AZ54" s="274">
        <f t="shared" si="15"/>
        <v>0</v>
      </c>
      <c r="BA54" s="275">
        <v>0</v>
      </c>
      <c r="BB54" s="276" t="e">
        <f t="shared" si="10"/>
        <v>#REF!</v>
      </c>
      <c r="BC54" s="277" t="e">
        <f t="shared" si="16"/>
        <v>#REF!</v>
      </c>
      <c r="BD54" s="278" t="e">
        <f t="shared" si="11"/>
        <v>#REF!</v>
      </c>
      <c r="BF54" s="770" t="e">
        <f t="shared" si="17"/>
        <v>#REF!</v>
      </c>
      <c r="BG54" s="771"/>
      <c r="BH54" s="279" t="e">
        <f t="shared" si="18"/>
        <v>#REF!</v>
      </c>
      <c r="BI54" s="772" t="e">
        <f t="shared" si="19"/>
        <v>#REF!</v>
      </c>
      <c r="BJ54" s="773"/>
      <c r="BK54" s="774" t="e">
        <f>IF(BR54&gt;0,CHOOSE(MATCH(RegimeExecucao,{"Unitário","Global"},0),IF($A54="S",BR54/BN54,""),(BR54/BN54)*100),"")</f>
        <v>#REF!</v>
      </c>
      <c r="BL54" s="775"/>
      <c r="BM54" s="776"/>
      <c r="BN54" s="777" t="e">
        <f>IF(BR54&gt;0,CHOOSE(MATCH(RegimeExecucao,{"Unitário","Global"},0),IF($A54="S",ROUND(P54,arredunit),""),ROUND(R54,arredtot)),"")</f>
        <v>#REF!</v>
      </c>
      <c r="BO54" s="778"/>
      <c r="BP54" s="778"/>
      <c r="BQ54" s="779"/>
      <c r="BR54" s="777" t="e">
        <f t="shared" si="1"/>
        <v>#REF!</v>
      </c>
      <c r="BS54" s="778"/>
      <c r="BT54" s="778"/>
      <c r="BU54" s="779"/>
      <c r="BV54" s="780"/>
      <c r="BW54" s="780"/>
      <c r="BX54" s="780"/>
      <c r="BY54" s="780"/>
      <c r="BZ54" s="780"/>
      <c r="CA54" s="781"/>
      <c r="CB54" s="245"/>
      <c r="CC54" s="245"/>
    </row>
    <row r="55" spans="1:81" s="222" customFormat="1" ht="30.6" customHeight="1">
      <c r="A55" s="222" t="str">
        <f t="shared" si="12"/>
        <v>S</v>
      </c>
      <c r="B55" s="222">
        <f t="shared" si="13"/>
        <v>0</v>
      </c>
      <c r="C55" s="222">
        <f t="shared" ca="1" si="2"/>
        <v>7</v>
      </c>
      <c r="D55" s="222">
        <f t="shared" ca="1" si="3"/>
        <v>1</v>
      </c>
      <c r="E55" s="222">
        <f t="shared" ca="1" si="4"/>
        <v>0</v>
      </c>
      <c r="F55" s="222">
        <f t="shared" ca="1" si="5"/>
        <v>0</v>
      </c>
      <c r="G55" s="222">
        <f t="shared" ca="1" si="6"/>
        <v>4</v>
      </c>
      <c r="H55" s="222">
        <f t="shared" ca="1" si="7"/>
        <v>0</v>
      </c>
      <c r="I55" s="222">
        <f t="shared" ca="1" si="8"/>
        <v>0</v>
      </c>
      <c r="J55" s="222">
        <f t="shared" si="9"/>
        <v>2</v>
      </c>
      <c r="K55" s="269" t="s">
        <v>4</v>
      </c>
      <c r="L55" s="336" t="s">
        <v>110</v>
      </c>
      <c r="M55" s="325" t="s">
        <v>111</v>
      </c>
      <c r="N55" s="326" t="s">
        <v>93</v>
      </c>
      <c r="O55" s="327">
        <v>1</v>
      </c>
      <c r="P55" s="328">
        <v>937.89</v>
      </c>
      <c r="Q55" s="329">
        <f t="shared" si="14"/>
        <v>0</v>
      </c>
      <c r="R55" s="330">
        <f t="shared" si="20"/>
        <v>937.89</v>
      </c>
      <c r="S55" s="331">
        <f t="shared" si="21"/>
        <v>1</v>
      </c>
      <c r="T55" s="337">
        <f t="shared" si="22"/>
        <v>0</v>
      </c>
      <c r="U55" s="332">
        <f t="shared" si="23"/>
        <v>1</v>
      </c>
      <c r="V55" s="338">
        <f t="shared" si="24"/>
        <v>937.89</v>
      </c>
      <c r="W55" s="339">
        <f t="shared" si="25"/>
        <v>0</v>
      </c>
      <c r="X55" s="340">
        <f t="shared" si="26"/>
        <v>937.89</v>
      </c>
      <c r="Y55" s="333"/>
      <c r="Z55" s="334"/>
      <c r="AA55" s="328">
        <v>1</v>
      </c>
      <c r="AB55" s="328"/>
      <c r="AC55" s="328"/>
      <c r="AD55" s="328"/>
      <c r="AE55" s="328"/>
      <c r="AF55" s="328"/>
      <c r="AG55" s="328"/>
      <c r="AH55" s="328"/>
      <c r="AI55" s="328"/>
      <c r="AJ55" s="328"/>
      <c r="AK55" s="335"/>
      <c r="AL55" s="334"/>
      <c r="AM55" s="328"/>
      <c r="AN55" s="328"/>
      <c r="AO55" s="328"/>
      <c r="AP55" s="328"/>
      <c r="AQ55" s="271"/>
      <c r="AR55" s="271"/>
      <c r="AS55" s="271"/>
      <c r="AT55" s="271"/>
      <c r="AU55" s="271"/>
      <c r="AV55" s="271"/>
      <c r="AW55" s="272"/>
      <c r="AX55" s="245"/>
      <c r="AY55" s="273">
        <v>0</v>
      </c>
      <c r="AZ55" s="274">
        <f t="shared" si="15"/>
        <v>0</v>
      </c>
      <c r="BA55" s="275">
        <v>0</v>
      </c>
      <c r="BB55" s="276" t="e">
        <f t="shared" si="10"/>
        <v>#REF!</v>
      </c>
      <c r="BC55" s="277" t="e">
        <f t="shared" si="16"/>
        <v>#REF!</v>
      </c>
      <c r="BD55" s="278" t="e">
        <f t="shared" si="11"/>
        <v>#REF!</v>
      </c>
      <c r="BF55" s="770" t="e">
        <f t="shared" si="17"/>
        <v>#REF!</v>
      </c>
      <c r="BG55" s="771"/>
      <c r="BH55" s="279" t="e">
        <f t="shared" si="18"/>
        <v>#REF!</v>
      </c>
      <c r="BI55" s="772" t="e">
        <f t="shared" si="19"/>
        <v>#REF!</v>
      </c>
      <c r="BJ55" s="773"/>
      <c r="BK55" s="774" t="e">
        <f>IF(BR55&gt;0,CHOOSE(MATCH(RegimeExecucao,{"Unitário","Global"},0),IF($A55="S",BR55/BN55,""),(BR55/BN55)*100),"")</f>
        <v>#REF!</v>
      </c>
      <c r="BL55" s="775"/>
      <c r="BM55" s="776"/>
      <c r="BN55" s="777" t="e">
        <f>IF(BR55&gt;0,CHOOSE(MATCH(RegimeExecucao,{"Unitário","Global"},0),IF($A55="S",ROUND(P55,arredunit),""),ROUND(R55,arredtot)),"")</f>
        <v>#REF!</v>
      </c>
      <c r="BO55" s="778"/>
      <c r="BP55" s="778"/>
      <c r="BQ55" s="779"/>
      <c r="BR55" s="777" t="e">
        <f t="shared" si="1"/>
        <v>#REF!</v>
      </c>
      <c r="BS55" s="778"/>
      <c r="BT55" s="778"/>
      <c r="BU55" s="779"/>
      <c r="BV55" s="780"/>
      <c r="BW55" s="780"/>
      <c r="BX55" s="780"/>
      <c r="BY55" s="780"/>
      <c r="BZ55" s="780"/>
      <c r="CA55" s="781"/>
      <c r="CB55" s="245"/>
      <c r="CC55" s="245"/>
    </row>
    <row r="56" spans="1:81" s="222" customFormat="1" ht="31.2" customHeight="1">
      <c r="A56" s="222" t="str">
        <f t="shared" si="12"/>
        <v>S</v>
      </c>
      <c r="B56" s="222">
        <f t="shared" si="13"/>
        <v>0</v>
      </c>
      <c r="C56" s="222">
        <f t="shared" ca="1" si="2"/>
        <v>7</v>
      </c>
      <c r="D56" s="222">
        <f t="shared" ca="1" si="3"/>
        <v>1</v>
      </c>
      <c r="E56" s="222">
        <f t="shared" ca="1" si="4"/>
        <v>0</v>
      </c>
      <c r="F56" s="222">
        <f t="shared" ca="1" si="5"/>
        <v>0</v>
      </c>
      <c r="G56" s="222">
        <f t="shared" ca="1" si="6"/>
        <v>5</v>
      </c>
      <c r="H56" s="222">
        <f t="shared" ca="1" si="7"/>
        <v>0</v>
      </c>
      <c r="I56" s="222">
        <f t="shared" ca="1" si="8"/>
        <v>0</v>
      </c>
      <c r="J56" s="222">
        <f t="shared" si="9"/>
        <v>2</v>
      </c>
      <c r="K56" s="269" t="s">
        <v>4</v>
      </c>
      <c r="L56" s="336" t="s">
        <v>112</v>
      </c>
      <c r="M56" s="325" t="s">
        <v>113</v>
      </c>
      <c r="N56" s="326" t="s">
        <v>93</v>
      </c>
      <c r="O56" s="327">
        <v>1.9991511035653653</v>
      </c>
      <c r="P56" s="328">
        <v>11.78</v>
      </c>
      <c r="Q56" s="329">
        <f t="shared" si="14"/>
        <v>0</v>
      </c>
      <c r="R56" s="330">
        <f t="shared" si="20"/>
        <v>23.55</v>
      </c>
      <c r="S56" s="331">
        <f t="shared" si="21"/>
        <v>2</v>
      </c>
      <c r="T56" s="337">
        <f t="shared" si="22"/>
        <v>0</v>
      </c>
      <c r="U56" s="332">
        <f t="shared" si="23"/>
        <v>2</v>
      </c>
      <c r="V56" s="338">
        <f>IF(O56-Z56-AA56&gt;0.01,(Z56+AA56)*P56,R56)+0.01</f>
        <v>23.560000000000002</v>
      </c>
      <c r="W56" s="339">
        <f t="shared" si="25"/>
        <v>0</v>
      </c>
      <c r="X56" s="340">
        <f t="shared" si="26"/>
        <v>23.560000000000002</v>
      </c>
      <c r="Y56" s="333"/>
      <c r="Z56" s="334">
        <v>1</v>
      </c>
      <c r="AA56" s="328">
        <v>1</v>
      </c>
      <c r="AB56" s="328"/>
      <c r="AC56" s="328"/>
      <c r="AD56" s="328"/>
      <c r="AE56" s="328"/>
      <c r="AF56" s="328"/>
      <c r="AG56" s="328"/>
      <c r="AH56" s="328"/>
      <c r="AI56" s="328"/>
      <c r="AJ56" s="328"/>
      <c r="AK56" s="335"/>
      <c r="AL56" s="334"/>
      <c r="AM56" s="328"/>
      <c r="AN56" s="328"/>
      <c r="AO56" s="328"/>
      <c r="AP56" s="328"/>
      <c r="AQ56" s="271"/>
      <c r="AR56" s="271"/>
      <c r="AS56" s="271"/>
      <c r="AT56" s="271"/>
      <c r="AU56" s="271"/>
      <c r="AV56" s="271"/>
      <c r="AW56" s="272"/>
      <c r="AX56" s="245"/>
      <c r="AY56" s="273">
        <v>0</v>
      </c>
      <c r="AZ56" s="274">
        <f t="shared" si="15"/>
        <v>0</v>
      </c>
      <c r="BA56" s="275">
        <v>0</v>
      </c>
      <c r="BB56" s="276" t="e">
        <f t="shared" si="10"/>
        <v>#REF!</v>
      </c>
      <c r="BC56" s="277" t="e">
        <f t="shared" si="16"/>
        <v>#REF!</v>
      </c>
      <c r="BD56" s="278" t="e">
        <f t="shared" si="11"/>
        <v>#REF!</v>
      </c>
      <c r="BF56" s="770" t="e">
        <f t="shared" si="17"/>
        <v>#REF!</v>
      </c>
      <c r="BG56" s="771"/>
      <c r="BH56" s="279" t="e">
        <f t="shared" si="18"/>
        <v>#REF!</v>
      </c>
      <c r="BI56" s="772" t="e">
        <f t="shared" si="19"/>
        <v>#REF!</v>
      </c>
      <c r="BJ56" s="773"/>
      <c r="BK56" s="774" t="e">
        <f>IF(BR56&gt;0,CHOOSE(MATCH(RegimeExecucao,{"Unitário","Global"},0),IF($A56="S",BR56/BN56,""),(BR56/BN56)*100),"")</f>
        <v>#REF!</v>
      </c>
      <c r="BL56" s="775"/>
      <c r="BM56" s="776"/>
      <c r="BN56" s="777" t="e">
        <f>IF(BR56&gt;0,CHOOSE(MATCH(RegimeExecucao,{"Unitário","Global"},0),IF($A56="S",ROUND(P56,arredunit),""),ROUND(R56,arredtot)),"")</f>
        <v>#REF!</v>
      </c>
      <c r="BO56" s="778"/>
      <c r="BP56" s="778"/>
      <c r="BQ56" s="779"/>
      <c r="BR56" s="777" t="e">
        <f t="shared" si="1"/>
        <v>#REF!</v>
      </c>
      <c r="BS56" s="778"/>
      <c r="BT56" s="778"/>
      <c r="BU56" s="779"/>
      <c r="BV56" s="780"/>
      <c r="BW56" s="780"/>
      <c r="BX56" s="780"/>
      <c r="BY56" s="780"/>
      <c r="BZ56" s="780"/>
      <c r="CA56" s="781"/>
      <c r="CB56" s="245"/>
      <c r="CC56" s="245"/>
    </row>
    <row r="57" spans="1:81" s="222" customFormat="1" ht="30.6" customHeight="1">
      <c r="A57" s="222" t="str">
        <f t="shared" si="12"/>
        <v>S</v>
      </c>
      <c r="B57" s="222">
        <f t="shared" si="13"/>
        <v>0</v>
      </c>
      <c r="C57" s="222">
        <f t="shared" ca="1" si="2"/>
        <v>7</v>
      </c>
      <c r="D57" s="222">
        <f t="shared" ca="1" si="3"/>
        <v>1</v>
      </c>
      <c r="E57" s="222">
        <f t="shared" ca="1" si="4"/>
        <v>0</v>
      </c>
      <c r="F57" s="222">
        <f t="shared" ca="1" si="5"/>
        <v>0</v>
      </c>
      <c r="G57" s="222">
        <f t="shared" ca="1" si="6"/>
        <v>6</v>
      </c>
      <c r="H57" s="222">
        <f t="shared" ca="1" si="7"/>
        <v>0</v>
      </c>
      <c r="I57" s="222">
        <f t="shared" ca="1" si="8"/>
        <v>0</v>
      </c>
      <c r="J57" s="222">
        <f t="shared" si="9"/>
        <v>2</v>
      </c>
      <c r="K57" s="269" t="s">
        <v>4</v>
      </c>
      <c r="L57" s="336" t="s">
        <v>114</v>
      </c>
      <c r="M57" s="325" t="s">
        <v>115</v>
      </c>
      <c r="N57" s="326" t="s">
        <v>93</v>
      </c>
      <c r="O57" s="327">
        <v>2.0000050883075779</v>
      </c>
      <c r="P57" s="328">
        <v>1965.29</v>
      </c>
      <c r="Q57" s="329">
        <f t="shared" si="14"/>
        <v>0</v>
      </c>
      <c r="R57" s="330">
        <f t="shared" si="20"/>
        <v>3930.5899999999997</v>
      </c>
      <c r="S57" s="331">
        <f t="shared" si="21"/>
        <v>0</v>
      </c>
      <c r="T57" s="337">
        <f t="shared" si="22"/>
        <v>0</v>
      </c>
      <c r="U57" s="332">
        <f t="shared" si="23"/>
        <v>0</v>
      </c>
      <c r="V57" s="338">
        <f t="shared" si="24"/>
        <v>0</v>
      </c>
      <c r="W57" s="339">
        <f t="shared" si="25"/>
        <v>0</v>
      </c>
      <c r="X57" s="340">
        <f t="shared" si="26"/>
        <v>0</v>
      </c>
      <c r="Y57" s="333"/>
      <c r="Z57" s="334"/>
      <c r="AA57" s="328"/>
      <c r="AB57" s="328"/>
      <c r="AC57" s="328"/>
      <c r="AD57" s="328"/>
      <c r="AE57" s="328"/>
      <c r="AF57" s="328"/>
      <c r="AG57" s="328"/>
      <c r="AH57" s="328"/>
      <c r="AI57" s="328"/>
      <c r="AJ57" s="328"/>
      <c r="AK57" s="335"/>
      <c r="AL57" s="334"/>
      <c r="AM57" s="328"/>
      <c r="AN57" s="328"/>
      <c r="AO57" s="328"/>
      <c r="AP57" s="328"/>
      <c r="AQ57" s="271"/>
      <c r="AR57" s="271"/>
      <c r="AS57" s="271"/>
      <c r="AT57" s="271"/>
      <c r="AU57" s="271"/>
      <c r="AV57" s="271"/>
      <c r="AW57" s="272"/>
      <c r="AX57" s="245"/>
      <c r="AY57" s="273">
        <v>0</v>
      </c>
      <c r="AZ57" s="274">
        <f t="shared" si="15"/>
        <v>0</v>
      </c>
      <c r="BA57" s="275">
        <v>0</v>
      </c>
      <c r="BB57" s="276" t="e">
        <f t="shared" si="10"/>
        <v>#REF!</v>
      </c>
      <c r="BC57" s="277" t="e">
        <f t="shared" si="16"/>
        <v>#REF!</v>
      </c>
      <c r="BD57" s="278" t="e">
        <f t="shared" si="11"/>
        <v>#REF!</v>
      </c>
      <c r="BF57" s="770" t="e">
        <f t="shared" si="17"/>
        <v>#REF!</v>
      </c>
      <c r="BG57" s="771"/>
      <c r="BH57" s="279" t="e">
        <f t="shared" si="18"/>
        <v>#REF!</v>
      </c>
      <c r="BI57" s="772" t="e">
        <f t="shared" si="19"/>
        <v>#REF!</v>
      </c>
      <c r="BJ57" s="773"/>
      <c r="BK57" s="774" t="e">
        <f>IF(BR57&gt;0,CHOOSE(MATCH(RegimeExecucao,{"Unitário","Global"},0),IF($A57="S",BR57/BN57,""),(BR57/BN57)*100),"")</f>
        <v>#REF!</v>
      </c>
      <c r="BL57" s="775"/>
      <c r="BM57" s="776"/>
      <c r="BN57" s="777" t="e">
        <f>IF(BR57&gt;0,CHOOSE(MATCH(RegimeExecucao,{"Unitário","Global"},0),IF($A57="S",ROUND(P57,arredunit),""),ROUND(R57,arredtot)),"")</f>
        <v>#REF!</v>
      </c>
      <c r="BO57" s="778"/>
      <c r="BP57" s="778"/>
      <c r="BQ57" s="779"/>
      <c r="BR57" s="777" t="e">
        <f t="shared" si="1"/>
        <v>#REF!</v>
      </c>
      <c r="BS57" s="778"/>
      <c r="BT57" s="778"/>
      <c r="BU57" s="779"/>
      <c r="BV57" s="780"/>
      <c r="BW57" s="780"/>
      <c r="BX57" s="780"/>
      <c r="BY57" s="780"/>
      <c r="BZ57" s="780"/>
      <c r="CA57" s="781"/>
      <c r="CB57" s="245"/>
      <c r="CC57" s="245"/>
    </row>
    <row r="58" spans="1:81" s="222" customFormat="1" ht="16.8" customHeight="1">
      <c r="A58" s="222">
        <f t="shared" si="12"/>
        <v>1</v>
      </c>
      <c r="B58" s="222">
        <f t="shared" ca="1" si="13"/>
        <v>11</v>
      </c>
      <c r="C58" s="222">
        <f t="shared" ca="1" si="2"/>
        <v>8</v>
      </c>
      <c r="D58" s="222">
        <f t="shared" ca="1" si="3"/>
        <v>0</v>
      </c>
      <c r="E58" s="222">
        <f t="shared" ca="1" si="4"/>
        <v>0</v>
      </c>
      <c r="F58" s="222">
        <f t="shared" ca="1" si="5"/>
        <v>0</v>
      </c>
      <c r="G58" s="222">
        <f t="shared" ca="1" si="6"/>
        <v>0</v>
      </c>
      <c r="H58" s="222">
        <f t="shared" ca="1" si="7"/>
        <v>38</v>
      </c>
      <c r="I58" s="222">
        <f t="shared" ca="1" si="8"/>
        <v>11</v>
      </c>
      <c r="J58" s="222">
        <f t="shared" si="9"/>
        <v>0</v>
      </c>
      <c r="K58" s="269" t="str">
        <f>CHOOSE(1+LOG(1+2*($J58=3)+4*($J58=2)+8*($J58=1)+16*(AND($L58&lt;&gt;"",$L58&lt;&gt;0,$J58=0))+32*OR($N58&lt;&gt;"",RegimeExecucao="Global",AND($L58="",$M58="",$N58="")),2),"","Nível 4","Nível 3","Nível 2","Meta","Serviço")</f>
        <v>Meta</v>
      </c>
      <c r="L58" s="324">
        <v>8</v>
      </c>
      <c r="M58" s="325" t="s">
        <v>116</v>
      </c>
      <c r="N58" s="326"/>
      <c r="O58" s="327"/>
      <c r="P58" s="328"/>
      <c r="Q58" s="329">
        <f t="shared" si="14"/>
        <v>11285.48</v>
      </c>
      <c r="R58" s="330">
        <f>SUM(R59,R62)</f>
        <v>11285.48</v>
      </c>
      <c r="S58" s="331">
        <f t="shared" si="21"/>
        <v>0</v>
      </c>
      <c r="T58" s="337">
        <f t="shared" si="22"/>
        <v>0</v>
      </c>
      <c r="U58" s="332">
        <f t="shared" si="23"/>
        <v>0</v>
      </c>
      <c r="V58" s="338">
        <f t="shared" si="24"/>
        <v>11285.48</v>
      </c>
      <c r="W58" s="339">
        <f>SUM(W59,W62)</f>
        <v>0</v>
      </c>
      <c r="X58" s="340">
        <f t="shared" si="26"/>
        <v>11285.48</v>
      </c>
      <c r="Y58" s="333"/>
      <c r="Z58" s="334"/>
      <c r="AA58" s="328"/>
      <c r="AB58" s="328"/>
      <c r="AC58" s="328"/>
      <c r="AD58" s="328"/>
      <c r="AE58" s="328"/>
      <c r="AF58" s="328"/>
      <c r="AG58" s="328"/>
      <c r="AH58" s="328"/>
      <c r="AI58" s="328"/>
      <c r="AJ58" s="328"/>
      <c r="AK58" s="335"/>
      <c r="AL58" s="334"/>
      <c r="AM58" s="328"/>
      <c r="AN58" s="328"/>
      <c r="AO58" s="328"/>
      <c r="AP58" s="328"/>
      <c r="AQ58" s="271"/>
      <c r="AR58" s="271"/>
      <c r="AS58" s="271"/>
      <c r="AT58" s="271"/>
      <c r="AU58" s="271"/>
      <c r="AV58" s="271"/>
      <c r="AW58" s="272"/>
      <c r="AX58" s="245"/>
      <c r="AY58" s="273">
        <v>0</v>
      </c>
      <c r="AZ58" s="274">
        <f t="shared" si="15"/>
        <v>0</v>
      </c>
      <c r="BA58" s="275">
        <v>0</v>
      </c>
      <c r="BB58" s="276" t="e">
        <f t="shared" ca="1" si="10"/>
        <v>#REF!</v>
      </c>
      <c r="BC58" s="277" t="e">
        <f t="shared" ca="1" si="16"/>
        <v>#REF!</v>
      </c>
      <c r="BD58" s="278" t="e">
        <f t="shared" ca="1" si="11"/>
        <v>#REF!</v>
      </c>
      <c r="BF58" s="770" t="e">
        <f t="shared" ca="1" si="17"/>
        <v>#REF!</v>
      </c>
      <c r="BG58" s="771"/>
      <c r="BH58" s="279" t="e">
        <f t="shared" ca="1" si="18"/>
        <v>#REF!</v>
      </c>
      <c r="BI58" s="772" t="e">
        <f t="shared" ca="1" si="19"/>
        <v>#REF!</v>
      </c>
      <c r="BJ58" s="773"/>
      <c r="BK58" s="774" t="e">
        <f ca="1">IF(BR58&gt;0,CHOOSE(MATCH(RegimeExecucao,{"Unitário","Global"},0),IF($A58="S",BR58/BN58,""),(BR58/BN58)*100),"")</f>
        <v>#REF!</v>
      </c>
      <c r="BL58" s="775"/>
      <c r="BM58" s="776"/>
      <c r="BN58" s="777" t="e">
        <f ca="1">IF(BR58&gt;0,CHOOSE(MATCH(RegimeExecucao,{"Unitário","Global"},0),IF($A58="S",ROUND(P58,arredunit),""),ROUND(R58,arredtot)),"")</f>
        <v>#REF!</v>
      </c>
      <c r="BO58" s="778"/>
      <c r="BP58" s="778"/>
      <c r="BQ58" s="779"/>
      <c r="BR58" s="777" t="e">
        <f t="shared" ca="1" si="1"/>
        <v>#REF!</v>
      </c>
      <c r="BS58" s="778"/>
      <c r="BT58" s="778"/>
      <c r="BU58" s="779"/>
      <c r="BV58" s="780"/>
      <c r="BW58" s="780"/>
      <c r="BX58" s="780"/>
      <c r="BY58" s="780"/>
      <c r="BZ58" s="780"/>
      <c r="CA58" s="781"/>
      <c r="CB58" s="245"/>
      <c r="CC58" s="245"/>
    </row>
    <row r="59" spans="1:81" s="222" customFormat="1" ht="16.8" customHeight="1">
      <c r="A59" s="222">
        <f t="shared" si="12"/>
        <v>2</v>
      </c>
      <c r="B59" s="222">
        <f t="shared" ca="1" si="13"/>
        <v>3</v>
      </c>
      <c r="C59" s="222">
        <f t="shared" ca="1" si="2"/>
        <v>8</v>
      </c>
      <c r="D59" s="222">
        <f t="shared" ca="1" si="3"/>
        <v>1</v>
      </c>
      <c r="E59" s="222">
        <f t="shared" ca="1" si="4"/>
        <v>0</v>
      </c>
      <c r="F59" s="222">
        <f t="shared" ca="1" si="5"/>
        <v>0</v>
      </c>
      <c r="G59" s="222">
        <f t="shared" ca="1" si="6"/>
        <v>0</v>
      </c>
      <c r="H59" s="222">
        <f t="shared" ca="1" si="7"/>
        <v>10</v>
      </c>
      <c r="I59" s="222">
        <f t="shared" ca="1" si="8"/>
        <v>3</v>
      </c>
      <c r="J59" s="222">
        <f t="shared" si="9"/>
        <v>1</v>
      </c>
      <c r="K59" s="269" t="str">
        <f>CHOOSE(1+LOG(1+2*($J59=3)+4*($J59=2)+8*($J59=1)+16*(AND($L59&lt;&gt;"",$L59&lt;&gt;0,$J59=0))+32*OR($N59&lt;&gt;"",RegimeExecucao="Global",AND($L59="",$M59="",$N59="")),2),"","Nível 4","Nível 3","Nível 2","Meta","Serviço")</f>
        <v>Nível 2</v>
      </c>
      <c r="L59" s="336" t="s">
        <v>117</v>
      </c>
      <c r="M59" s="325" t="s">
        <v>118</v>
      </c>
      <c r="N59" s="326"/>
      <c r="O59" s="327"/>
      <c r="P59" s="328"/>
      <c r="Q59" s="329">
        <f t="shared" si="14"/>
        <v>7261.2800000000007</v>
      </c>
      <c r="R59" s="330">
        <f>SUM(R60:R61)</f>
        <v>7261.2800000000007</v>
      </c>
      <c r="S59" s="331">
        <f t="shared" si="21"/>
        <v>0</v>
      </c>
      <c r="T59" s="337">
        <f t="shared" si="22"/>
        <v>0</v>
      </c>
      <c r="U59" s="332">
        <f t="shared" si="23"/>
        <v>0</v>
      </c>
      <c r="V59" s="338">
        <f t="shared" si="24"/>
        <v>7261.2800000000007</v>
      </c>
      <c r="W59" s="339">
        <f>SUM(W60:W61)</f>
        <v>0</v>
      </c>
      <c r="X59" s="340">
        <f t="shared" si="26"/>
        <v>7261.2800000000007</v>
      </c>
      <c r="Y59" s="333"/>
      <c r="Z59" s="334"/>
      <c r="AA59" s="328"/>
      <c r="AB59" s="328"/>
      <c r="AC59" s="328"/>
      <c r="AD59" s="328"/>
      <c r="AE59" s="328"/>
      <c r="AF59" s="328"/>
      <c r="AG59" s="328"/>
      <c r="AH59" s="328"/>
      <c r="AI59" s="328"/>
      <c r="AJ59" s="328"/>
      <c r="AK59" s="335"/>
      <c r="AL59" s="334"/>
      <c r="AM59" s="328"/>
      <c r="AN59" s="328"/>
      <c r="AO59" s="328"/>
      <c r="AP59" s="328"/>
      <c r="AQ59" s="271"/>
      <c r="AR59" s="271"/>
      <c r="AS59" s="271"/>
      <c r="AT59" s="271"/>
      <c r="AU59" s="271"/>
      <c r="AV59" s="271"/>
      <c r="AW59" s="272"/>
      <c r="AX59" s="245"/>
      <c r="AY59" s="273">
        <v>0</v>
      </c>
      <c r="AZ59" s="274">
        <f t="shared" si="15"/>
        <v>0</v>
      </c>
      <c r="BA59" s="275">
        <v>0</v>
      </c>
      <c r="BB59" s="276" t="e">
        <f t="shared" ca="1" si="10"/>
        <v>#REF!</v>
      </c>
      <c r="BC59" s="277" t="e">
        <f t="shared" ca="1" si="16"/>
        <v>#REF!</v>
      </c>
      <c r="BD59" s="278" t="e">
        <f t="shared" ca="1" si="11"/>
        <v>#REF!</v>
      </c>
      <c r="BF59" s="770" t="e">
        <f t="shared" ca="1" si="17"/>
        <v>#REF!</v>
      </c>
      <c r="BG59" s="771"/>
      <c r="BH59" s="279" t="e">
        <f t="shared" ca="1" si="18"/>
        <v>#REF!</v>
      </c>
      <c r="BI59" s="772" t="e">
        <f t="shared" ca="1" si="19"/>
        <v>#REF!</v>
      </c>
      <c r="BJ59" s="773"/>
      <c r="BK59" s="774" t="e">
        <f ca="1">IF(BR59&gt;0,CHOOSE(MATCH(RegimeExecucao,{"Unitário","Global"},0),IF($A59="S",BR59/BN59,""),(BR59/BN59)*100),"")</f>
        <v>#REF!</v>
      </c>
      <c r="BL59" s="775"/>
      <c r="BM59" s="776"/>
      <c r="BN59" s="777" t="e">
        <f ca="1">IF(BR59&gt;0,CHOOSE(MATCH(RegimeExecucao,{"Unitário","Global"},0),IF($A59="S",ROUND(P59,arredunit),""),ROUND(R59,arredtot)),"")</f>
        <v>#REF!</v>
      </c>
      <c r="BO59" s="778"/>
      <c r="BP59" s="778"/>
      <c r="BQ59" s="779"/>
      <c r="BR59" s="777" t="e">
        <f t="shared" ca="1" si="1"/>
        <v>#REF!</v>
      </c>
      <c r="BS59" s="778"/>
      <c r="BT59" s="778"/>
      <c r="BU59" s="779"/>
      <c r="BV59" s="780"/>
      <c r="BW59" s="780"/>
      <c r="BX59" s="780"/>
      <c r="BY59" s="780"/>
      <c r="BZ59" s="780"/>
      <c r="CA59" s="781"/>
      <c r="CB59" s="245"/>
      <c r="CC59" s="245"/>
    </row>
    <row r="60" spans="1:81" s="222" customFormat="1" ht="45" customHeight="1">
      <c r="A60" s="222" t="str">
        <f t="shared" si="12"/>
        <v>S</v>
      </c>
      <c r="B60" s="222">
        <f t="shared" si="13"/>
        <v>0</v>
      </c>
      <c r="C60" s="222">
        <f t="shared" ca="1" si="2"/>
        <v>8</v>
      </c>
      <c r="D60" s="222">
        <f t="shared" ca="1" si="3"/>
        <v>1</v>
      </c>
      <c r="E60" s="222">
        <f t="shared" ca="1" si="4"/>
        <v>0</v>
      </c>
      <c r="F60" s="222">
        <f t="shared" ca="1" si="5"/>
        <v>0</v>
      </c>
      <c r="G60" s="222">
        <f t="shared" ca="1" si="6"/>
        <v>1</v>
      </c>
      <c r="H60" s="222">
        <f t="shared" ca="1" si="7"/>
        <v>0</v>
      </c>
      <c r="I60" s="222">
        <f t="shared" ca="1" si="8"/>
        <v>0</v>
      </c>
      <c r="J60" s="222">
        <f t="shared" si="9"/>
        <v>2</v>
      </c>
      <c r="K60" s="269" t="s">
        <v>4</v>
      </c>
      <c r="L60" s="336" t="s">
        <v>119</v>
      </c>
      <c r="M60" s="325" t="s">
        <v>120</v>
      </c>
      <c r="N60" s="326" t="s">
        <v>43</v>
      </c>
      <c r="O60" s="327">
        <v>199</v>
      </c>
      <c r="P60" s="328">
        <v>3.8387437185929647</v>
      </c>
      <c r="Q60" s="329">
        <f t="shared" si="14"/>
        <v>0</v>
      </c>
      <c r="R60" s="330">
        <f t="shared" si="20"/>
        <v>763.91</v>
      </c>
      <c r="S60" s="331">
        <f t="shared" si="21"/>
        <v>51.34</v>
      </c>
      <c r="T60" s="337">
        <f t="shared" si="22"/>
        <v>0</v>
      </c>
      <c r="U60" s="332">
        <f t="shared" si="23"/>
        <v>51.34</v>
      </c>
      <c r="V60" s="338">
        <f>IF(O60-Z60-AA60&gt;0.01,(Z60+AA60)*P60,R60)+0.07</f>
        <v>197.1511025125628</v>
      </c>
      <c r="W60" s="339">
        <f t="shared" si="25"/>
        <v>0</v>
      </c>
      <c r="X60" s="340">
        <f t="shared" si="26"/>
        <v>197.1511025125628</v>
      </c>
      <c r="Y60" s="333"/>
      <c r="Z60" s="334"/>
      <c r="AA60" s="328">
        <v>51.34</v>
      </c>
      <c r="AB60" s="328"/>
      <c r="AC60" s="328"/>
      <c r="AD60" s="328"/>
      <c r="AE60" s="328"/>
      <c r="AF60" s="328"/>
      <c r="AG60" s="328"/>
      <c r="AH60" s="328"/>
      <c r="AI60" s="328"/>
      <c r="AJ60" s="328"/>
      <c r="AK60" s="335"/>
      <c r="AL60" s="334"/>
      <c r="AM60" s="328"/>
      <c r="AN60" s="328"/>
      <c r="AO60" s="328"/>
      <c r="AP60" s="328"/>
      <c r="AQ60" s="271"/>
      <c r="AR60" s="271"/>
      <c r="AS60" s="271"/>
      <c r="AT60" s="271"/>
      <c r="AU60" s="271"/>
      <c r="AV60" s="271"/>
      <c r="AW60" s="272"/>
      <c r="AX60" s="245"/>
      <c r="AY60" s="273">
        <v>0</v>
      </c>
      <c r="AZ60" s="274">
        <f t="shared" si="15"/>
        <v>0</v>
      </c>
      <c r="BA60" s="275">
        <v>0</v>
      </c>
      <c r="BB60" s="276" t="e">
        <f t="shared" si="10"/>
        <v>#REF!</v>
      </c>
      <c r="BC60" s="277" t="e">
        <f t="shared" si="16"/>
        <v>#REF!</v>
      </c>
      <c r="BD60" s="278" t="e">
        <f t="shared" si="11"/>
        <v>#REF!</v>
      </c>
      <c r="BF60" s="770" t="e">
        <f t="shared" si="17"/>
        <v>#REF!</v>
      </c>
      <c r="BG60" s="771"/>
      <c r="BH60" s="279" t="e">
        <f t="shared" si="18"/>
        <v>#REF!</v>
      </c>
      <c r="BI60" s="772" t="e">
        <f t="shared" si="19"/>
        <v>#REF!</v>
      </c>
      <c r="BJ60" s="773"/>
      <c r="BK60" s="774" t="e">
        <f>IF(BR60&gt;0,CHOOSE(MATCH(RegimeExecucao,{"Unitário","Global"},0),IF($A60="S",BR60/BN60,""),(BR60/BN60)*100),"")</f>
        <v>#REF!</v>
      </c>
      <c r="BL60" s="775"/>
      <c r="BM60" s="776"/>
      <c r="BN60" s="777" t="e">
        <f>IF(BR60&gt;0,CHOOSE(MATCH(RegimeExecucao,{"Unitário","Global"},0),IF($A60="S",ROUND(P60,arredunit),""),ROUND(R60,arredtot)),"")</f>
        <v>#REF!</v>
      </c>
      <c r="BO60" s="778"/>
      <c r="BP60" s="778"/>
      <c r="BQ60" s="779"/>
      <c r="BR60" s="777" t="e">
        <f t="shared" si="1"/>
        <v>#REF!</v>
      </c>
      <c r="BS60" s="778"/>
      <c r="BT60" s="778"/>
      <c r="BU60" s="779"/>
      <c r="BV60" s="780"/>
      <c r="BW60" s="780"/>
      <c r="BX60" s="780"/>
      <c r="BY60" s="780"/>
      <c r="BZ60" s="780"/>
      <c r="CA60" s="781"/>
      <c r="CB60" s="245"/>
      <c r="CC60" s="245"/>
    </row>
    <row r="61" spans="1:81" s="222" customFormat="1" ht="73.8" customHeight="1">
      <c r="A61" s="222" t="str">
        <f t="shared" si="12"/>
        <v>S</v>
      </c>
      <c r="B61" s="222">
        <f t="shared" si="13"/>
        <v>0</v>
      </c>
      <c r="C61" s="222">
        <f t="shared" ca="1" si="2"/>
        <v>8</v>
      </c>
      <c r="D61" s="222">
        <f t="shared" ca="1" si="3"/>
        <v>1</v>
      </c>
      <c r="E61" s="222">
        <f t="shared" ca="1" si="4"/>
        <v>0</v>
      </c>
      <c r="F61" s="222">
        <f t="shared" ca="1" si="5"/>
        <v>0</v>
      </c>
      <c r="G61" s="222">
        <f t="shared" ca="1" si="6"/>
        <v>2</v>
      </c>
      <c r="H61" s="222">
        <f t="shared" ca="1" si="7"/>
        <v>0</v>
      </c>
      <c r="I61" s="222">
        <f t="shared" ca="1" si="8"/>
        <v>0</v>
      </c>
      <c r="J61" s="222">
        <f t="shared" si="9"/>
        <v>2</v>
      </c>
      <c r="K61" s="269" t="s">
        <v>4</v>
      </c>
      <c r="L61" s="336" t="s">
        <v>121</v>
      </c>
      <c r="M61" s="325" t="s">
        <v>122</v>
      </c>
      <c r="N61" s="326" t="s">
        <v>43</v>
      </c>
      <c r="O61" s="327">
        <v>199</v>
      </c>
      <c r="P61" s="328">
        <v>32.650100502512565</v>
      </c>
      <c r="Q61" s="329">
        <f t="shared" si="14"/>
        <v>0</v>
      </c>
      <c r="R61" s="330">
        <f t="shared" si="20"/>
        <v>6497.3700000000008</v>
      </c>
      <c r="S61" s="331">
        <f t="shared" si="21"/>
        <v>51.34</v>
      </c>
      <c r="T61" s="337">
        <f t="shared" si="22"/>
        <v>0</v>
      </c>
      <c r="U61" s="332">
        <f t="shared" si="23"/>
        <v>51.34</v>
      </c>
      <c r="V61" s="338">
        <f>IF(O61-Z61-AA61&gt;0.01,(Z61+AA61)*P61,R61)-0.01</f>
        <v>1676.2461597989952</v>
      </c>
      <c r="W61" s="339">
        <f t="shared" si="25"/>
        <v>0</v>
      </c>
      <c r="X61" s="340">
        <f t="shared" si="26"/>
        <v>1676.2461597989952</v>
      </c>
      <c r="Y61" s="333"/>
      <c r="Z61" s="334"/>
      <c r="AA61" s="328">
        <v>51.34</v>
      </c>
      <c r="AB61" s="328"/>
      <c r="AC61" s="328"/>
      <c r="AD61" s="328"/>
      <c r="AE61" s="328"/>
      <c r="AF61" s="328"/>
      <c r="AG61" s="328"/>
      <c r="AH61" s="328"/>
      <c r="AI61" s="328"/>
      <c r="AJ61" s="328"/>
      <c r="AK61" s="335"/>
      <c r="AL61" s="334"/>
      <c r="AM61" s="328"/>
      <c r="AN61" s="328"/>
      <c r="AO61" s="328"/>
      <c r="AP61" s="328"/>
      <c r="AQ61" s="271"/>
      <c r="AR61" s="271"/>
      <c r="AS61" s="271"/>
      <c r="AT61" s="271"/>
      <c r="AU61" s="271"/>
      <c r="AV61" s="271"/>
      <c r="AW61" s="272"/>
      <c r="AX61" s="245"/>
      <c r="AY61" s="273">
        <v>0</v>
      </c>
      <c r="AZ61" s="274">
        <f t="shared" si="15"/>
        <v>0</v>
      </c>
      <c r="BA61" s="275">
        <v>0</v>
      </c>
      <c r="BB61" s="276" t="e">
        <f t="shared" si="10"/>
        <v>#REF!</v>
      </c>
      <c r="BC61" s="277" t="e">
        <f t="shared" si="16"/>
        <v>#REF!</v>
      </c>
      <c r="BD61" s="278" t="e">
        <f t="shared" si="11"/>
        <v>#REF!</v>
      </c>
      <c r="BF61" s="770" t="e">
        <f t="shared" si="17"/>
        <v>#REF!</v>
      </c>
      <c r="BG61" s="771"/>
      <c r="BH61" s="279" t="e">
        <f t="shared" si="18"/>
        <v>#REF!</v>
      </c>
      <c r="BI61" s="772" t="e">
        <f t="shared" si="19"/>
        <v>#REF!</v>
      </c>
      <c r="BJ61" s="773"/>
      <c r="BK61" s="774" t="e">
        <f>IF(BR61&gt;0,CHOOSE(MATCH(RegimeExecucao,{"Unitário","Global"},0),IF($A61="S",BR61/BN61,""),(BR61/BN61)*100),"")</f>
        <v>#REF!</v>
      </c>
      <c r="BL61" s="775"/>
      <c r="BM61" s="776"/>
      <c r="BN61" s="777" t="e">
        <f>IF(BR61&gt;0,CHOOSE(MATCH(RegimeExecucao,{"Unitário","Global"},0),IF($A61="S",ROUND(P61,arredunit),""),ROUND(R61,arredtot)),"")</f>
        <v>#REF!</v>
      </c>
      <c r="BO61" s="778"/>
      <c r="BP61" s="778"/>
      <c r="BQ61" s="779"/>
      <c r="BR61" s="777" t="e">
        <f t="shared" si="1"/>
        <v>#REF!</v>
      </c>
      <c r="BS61" s="778"/>
      <c r="BT61" s="778"/>
      <c r="BU61" s="779"/>
      <c r="BV61" s="780"/>
      <c r="BW61" s="780"/>
      <c r="BX61" s="780"/>
      <c r="BY61" s="780"/>
      <c r="BZ61" s="780"/>
      <c r="CA61" s="781"/>
      <c r="CB61" s="245"/>
      <c r="CC61" s="245"/>
    </row>
    <row r="62" spans="1:81" s="222" customFormat="1" ht="13.8">
      <c r="A62" s="222">
        <f t="shared" si="12"/>
        <v>2</v>
      </c>
      <c r="B62" s="222">
        <f t="shared" ca="1" si="13"/>
        <v>7</v>
      </c>
      <c r="C62" s="222">
        <f t="shared" ca="1" si="2"/>
        <v>8</v>
      </c>
      <c r="D62" s="222">
        <f t="shared" ca="1" si="3"/>
        <v>2</v>
      </c>
      <c r="E62" s="222">
        <f t="shared" ca="1" si="4"/>
        <v>0</v>
      </c>
      <c r="F62" s="222">
        <f t="shared" ca="1" si="5"/>
        <v>0</v>
      </c>
      <c r="G62" s="222">
        <f t="shared" ca="1" si="6"/>
        <v>0</v>
      </c>
      <c r="H62" s="222">
        <f t="shared" ca="1" si="7"/>
        <v>7</v>
      </c>
      <c r="I62" s="222" t="e">
        <f t="shared" ca="1" si="8"/>
        <v>#N/A</v>
      </c>
      <c r="J62" s="222">
        <f t="shared" si="9"/>
        <v>1</v>
      </c>
      <c r="K62" s="269" t="str">
        <f>CHOOSE(1+LOG(1+2*($J62=3)+4*($J62=2)+8*($J62=1)+16*(AND($L62&lt;&gt;"",$L62&lt;&gt;0,$J62=0))+32*OR($N62&lt;&gt;"",RegimeExecucao="Global",AND($L62="",$M62="",$N62="")),2),"","Nível 4","Nível 3","Nível 2","Meta","Serviço")</f>
        <v>Nível 2</v>
      </c>
      <c r="L62" s="336" t="s">
        <v>123</v>
      </c>
      <c r="M62" s="325" t="s">
        <v>124</v>
      </c>
      <c r="N62" s="326"/>
      <c r="O62" s="327"/>
      <c r="P62" s="328"/>
      <c r="Q62" s="329">
        <f t="shared" si="14"/>
        <v>4024.2</v>
      </c>
      <c r="R62" s="330">
        <f>SUM(R63:R68)</f>
        <v>4024.2</v>
      </c>
      <c r="S62" s="331">
        <f t="shared" si="21"/>
        <v>0</v>
      </c>
      <c r="T62" s="337">
        <f t="shared" si="22"/>
        <v>0</v>
      </c>
      <c r="U62" s="332">
        <f t="shared" si="23"/>
        <v>0</v>
      </c>
      <c r="V62" s="338">
        <f t="shared" si="24"/>
        <v>4024.2</v>
      </c>
      <c r="W62" s="339">
        <f>SUM(W63:W68)</f>
        <v>0</v>
      </c>
      <c r="X62" s="340">
        <f t="shared" si="26"/>
        <v>4024.2</v>
      </c>
      <c r="Y62" s="333"/>
      <c r="Z62" s="334"/>
      <c r="AA62" s="328"/>
      <c r="AB62" s="328"/>
      <c r="AC62" s="328"/>
      <c r="AD62" s="328"/>
      <c r="AE62" s="328"/>
      <c r="AF62" s="328"/>
      <c r="AG62" s="328"/>
      <c r="AH62" s="328"/>
      <c r="AI62" s="328"/>
      <c r="AJ62" s="328"/>
      <c r="AK62" s="335"/>
      <c r="AL62" s="334"/>
      <c r="AM62" s="328"/>
      <c r="AN62" s="328"/>
      <c r="AO62" s="328"/>
      <c r="AP62" s="328"/>
      <c r="AQ62" s="271"/>
      <c r="AR62" s="271"/>
      <c r="AS62" s="271"/>
      <c r="AT62" s="271"/>
      <c r="AU62" s="271"/>
      <c r="AV62" s="271"/>
      <c r="AW62" s="272"/>
      <c r="AX62" s="245"/>
      <c r="AY62" s="273">
        <v>0</v>
      </c>
      <c r="AZ62" s="274">
        <f t="shared" si="15"/>
        <v>0</v>
      </c>
      <c r="BA62" s="275">
        <v>0</v>
      </c>
      <c r="BB62" s="276" t="e">
        <f t="shared" ca="1" si="10"/>
        <v>#REF!</v>
      </c>
      <c r="BC62" s="277" t="e">
        <f t="shared" ca="1" si="16"/>
        <v>#REF!</v>
      </c>
      <c r="BD62" s="278" t="e">
        <f t="shared" ca="1" si="11"/>
        <v>#REF!</v>
      </c>
      <c r="BF62" s="770" t="e">
        <f t="shared" ca="1" si="17"/>
        <v>#REF!</v>
      </c>
      <c r="BG62" s="771"/>
      <c r="BH62" s="279" t="e">
        <f t="shared" ca="1" si="18"/>
        <v>#REF!</v>
      </c>
      <c r="BI62" s="772" t="e">
        <f t="shared" ca="1" si="19"/>
        <v>#REF!</v>
      </c>
      <c r="BJ62" s="773"/>
      <c r="BK62" s="774" t="e">
        <f ca="1">IF(BR62&gt;0,CHOOSE(MATCH(RegimeExecucao,{"Unitário","Global"},0),IF($A62="S",BR62/BN62,""),(BR62/BN62)*100),"")</f>
        <v>#REF!</v>
      </c>
      <c r="BL62" s="775"/>
      <c r="BM62" s="776"/>
      <c r="BN62" s="777" t="e">
        <f ca="1">IF(BR62&gt;0,CHOOSE(MATCH(RegimeExecucao,{"Unitário","Global"},0),IF($A62="S",ROUND(P62,arredunit),""),ROUND(R62,arredtot)),"")</f>
        <v>#REF!</v>
      </c>
      <c r="BO62" s="778"/>
      <c r="BP62" s="778"/>
      <c r="BQ62" s="779"/>
      <c r="BR62" s="777" t="e">
        <f t="shared" ca="1" si="1"/>
        <v>#REF!</v>
      </c>
      <c r="BS62" s="778"/>
      <c r="BT62" s="778"/>
      <c r="BU62" s="779"/>
      <c r="BV62" s="780"/>
      <c r="BW62" s="780"/>
      <c r="BX62" s="780"/>
      <c r="BY62" s="780"/>
      <c r="BZ62" s="780"/>
      <c r="CA62" s="781"/>
      <c r="CB62" s="245"/>
      <c r="CC62" s="245"/>
    </row>
    <row r="63" spans="1:81" s="222" customFormat="1" ht="59.4" customHeight="1">
      <c r="A63" s="222" t="str">
        <f t="shared" si="12"/>
        <v>S</v>
      </c>
      <c r="B63" s="222">
        <f t="shared" si="13"/>
        <v>0</v>
      </c>
      <c r="C63" s="222">
        <f t="shared" ca="1" si="2"/>
        <v>8</v>
      </c>
      <c r="D63" s="222">
        <f t="shared" ca="1" si="3"/>
        <v>2</v>
      </c>
      <c r="E63" s="222">
        <f t="shared" ca="1" si="4"/>
        <v>0</v>
      </c>
      <c r="F63" s="222">
        <f t="shared" ca="1" si="5"/>
        <v>0</v>
      </c>
      <c r="G63" s="222">
        <f t="shared" ca="1" si="6"/>
        <v>1</v>
      </c>
      <c r="H63" s="222">
        <f t="shared" ca="1" si="7"/>
        <v>0</v>
      </c>
      <c r="I63" s="222">
        <f t="shared" ca="1" si="8"/>
        <v>0</v>
      </c>
      <c r="J63" s="222">
        <f t="shared" si="9"/>
        <v>2</v>
      </c>
      <c r="K63" s="269" t="s">
        <v>4</v>
      </c>
      <c r="L63" s="336" t="s">
        <v>125</v>
      </c>
      <c r="M63" s="325" t="s">
        <v>126</v>
      </c>
      <c r="N63" s="326" t="s">
        <v>43</v>
      </c>
      <c r="O63" s="327">
        <v>27.000975881778892</v>
      </c>
      <c r="P63" s="328">
        <v>71.73</v>
      </c>
      <c r="Q63" s="329">
        <f t="shared" si="14"/>
        <v>0</v>
      </c>
      <c r="R63" s="330">
        <f t="shared" si="20"/>
        <v>1936.78</v>
      </c>
      <c r="S63" s="331">
        <f t="shared" si="21"/>
        <v>27</v>
      </c>
      <c r="T63" s="337">
        <f t="shared" si="22"/>
        <v>0</v>
      </c>
      <c r="U63" s="332">
        <f t="shared" si="23"/>
        <v>27</v>
      </c>
      <c r="V63" s="338">
        <f t="shared" si="24"/>
        <v>1936.78</v>
      </c>
      <c r="W63" s="339">
        <f t="shared" si="25"/>
        <v>0</v>
      </c>
      <c r="X63" s="340">
        <f t="shared" si="26"/>
        <v>1936.78</v>
      </c>
      <c r="Y63" s="333"/>
      <c r="Z63" s="334">
        <v>27</v>
      </c>
      <c r="AA63" s="328"/>
      <c r="AB63" s="328"/>
      <c r="AC63" s="328"/>
      <c r="AD63" s="328"/>
      <c r="AE63" s="328"/>
      <c r="AF63" s="328"/>
      <c r="AG63" s="328"/>
      <c r="AH63" s="328"/>
      <c r="AI63" s="328"/>
      <c r="AJ63" s="328"/>
      <c r="AK63" s="335"/>
      <c r="AL63" s="334"/>
      <c r="AM63" s="328"/>
      <c r="AN63" s="328"/>
      <c r="AO63" s="328"/>
      <c r="AP63" s="328"/>
      <c r="AQ63" s="271"/>
      <c r="AR63" s="271"/>
      <c r="AS63" s="271"/>
      <c r="AT63" s="271"/>
      <c r="AU63" s="271"/>
      <c r="AV63" s="271"/>
      <c r="AW63" s="272"/>
      <c r="AX63" s="245"/>
      <c r="AY63" s="273">
        <v>0</v>
      </c>
      <c r="AZ63" s="274">
        <f t="shared" si="15"/>
        <v>0</v>
      </c>
      <c r="BA63" s="275">
        <v>0</v>
      </c>
      <c r="BB63" s="276" t="e">
        <f t="shared" si="10"/>
        <v>#REF!</v>
      </c>
      <c r="BC63" s="277" t="e">
        <f t="shared" si="16"/>
        <v>#REF!</v>
      </c>
      <c r="BD63" s="278" t="e">
        <f t="shared" si="11"/>
        <v>#REF!</v>
      </c>
      <c r="BF63" s="770" t="e">
        <f t="shared" si="17"/>
        <v>#REF!</v>
      </c>
      <c r="BG63" s="771"/>
      <c r="BH63" s="279" t="e">
        <f t="shared" si="18"/>
        <v>#REF!</v>
      </c>
      <c r="BI63" s="772" t="e">
        <f t="shared" si="19"/>
        <v>#REF!</v>
      </c>
      <c r="BJ63" s="773"/>
      <c r="BK63" s="774" t="e">
        <f>IF(BR63&gt;0,CHOOSE(MATCH(RegimeExecucao,{"Unitário","Global"},0),IF($A63="S",BR63/BN63,""),(BR63/BN63)*100),"")</f>
        <v>#REF!</v>
      </c>
      <c r="BL63" s="775"/>
      <c r="BM63" s="776"/>
      <c r="BN63" s="777" t="e">
        <f>IF(BR63&gt;0,CHOOSE(MATCH(RegimeExecucao,{"Unitário","Global"},0),IF($A63="S",ROUND(P63,arredunit),""),ROUND(R63,arredtot)),"")</f>
        <v>#REF!</v>
      </c>
      <c r="BO63" s="778"/>
      <c r="BP63" s="778"/>
      <c r="BQ63" s="779"/>
      <c r="BR63" s="777" t="e">
        <f t="shared" si="1"/>
        <v>#REF!</v>
      </c>
      <c r="BS63" s="778"/>
      <c r="BT63" s="778"/>
      <c r="BU63" s="779"/>
      <c r="BV63" s="780"/>
      <c r="BW63" s="780"/>
      <c r="BX63" s="780"/>
      <c r="BY63" s="780"/>
      <c r="BZ63" s="780"/>
      <c r="CA63" s="781"/>
      <c r="CB63" s="245"/>
      <c r="CC63" s="245"/>
    </row>
    <row r="64" spans="1:81" s="222" customFormat="1" ht="30" customHeight="1">
      <c r="A64" s="222" t="str">
        <f t="shared" si="12"/>
        <v>S</v>
      </c>
      <c r="B64" s="222">
        <f t="shared" si="13"/>
        <v>0</v>
      </c>
      <c r="C64" s="222">
        <f t="shared" ca="1" si="2"/>
        <v>8</v>
      </c>
      <c r="D64" s="222">
        <f t="shared" ca="1" si="3"/>
        <v>2</v>
      </c>
      <c r="E64" s="222">
        <f t="shared" ca="1" si="4"/>
        <v>0</v>
      </c>
      <c r="F64" s="222">
        <f t="shared" ca="1" si="5"/>
        <v>0</v>
      </c>
      <c r="G64" s="222">
        <f t="shared" ca="1" si="6"/>
        <v>2</v>
      </c>
      <c r="H64" s="222">
        <f t="shared" ca="1" si="7"/>
        <v>0</v>
      </c>
      <c r="I64" s="222">
        <f t="shared" ca="1" si="8"/>
        <v>0</v>
      </c>
      <c r="J64" s="222">
        <f t="shared" si="9"/>
        <v>2</v>
      </c>
      <c r="K64" s="269" t="s">
        <v>4</v>
      </c>
      <c r="L64" s="336" t="s">
        <v>127</v>
      </c>
      <c r="M64" s="325" t="s">
        <v>128</v>
      </c>
      <c r="N64" s="326" t="s">
        <v>43</v>
      </c>
      <c r="O64" s="327">
        <v>27</v>
      </c>
      <c r="P64" s="328">
        <v>3.1022222222222222</v>
      </c>
      <c r="Q64" s="329">
        <f t="shared" si="14"/>
        <v>0</v>
      </c>
      <c r="R64" s="330">
        <f t="shared" si="20"/>
        <v>83.76</v>
      </c>
      <c r="S64" s="331">
        <f t="shared" si="21"/>
        <v>27</v>
      </c>
      <c r="T64" s="337">
        <f t="shared" si="22"/>
        <v>0</v>
      </c>
      <c r="U64" s="332">
        <f t="shared" si="23"/>
        <v>27</v>
      </c>
      <c r="V64" s="338">
        <f t="shared" si="24"/>
        <v>83.76</v>
      </c>
      <c r="W64" s="339">
        <f t="shared" si="25"/>
        <v>0</v>
      </c>
      <c r="X64" s="340">
        <f t="shared" si="26"/>
        <v>83.76</v>
      </c>
      <c r="Y64" s="333"/>
      <c r="Z64" s="334">
        <v>27</v>
      </c>
      <c r="AA64" s="328"/>
      <c r="AB64" s="328"/>
      <c r="AC64" s="328"/>
      <c r="AD64" s="328"/>
      <c r="AE64" s="328"/>
      <c r="AF64" s="328"/>
      <c r="AG64" s="328"/>
      <c r="AH64" s="328"/>
      <c r="AI64" s="328"/>
      <c r="AJ64" s="328"/>
      <c r="AK64" s="335"/>
      <c r="AL64" s="334"/>
      <c r="AM64" s="328"/>
      <c r="AN64" s="328"/>
      <c r="AO64" s="328"/>
      <c r="AP64" s="328"/>
      <c r="AQ64" s="271"/>
      <c r="AR64" s="271"/>
      <c r="AS64" s="271"/>
      <c r="AT64" s="271"/>
      <c r="AU64" s="271"/>
      <c r="AV64" s="271"/>
      <c r="AW64" s="272"/>
      <c r="AX64" s="245"/>
      <c r="AY64" s="273">
        <v>0</v>
      </c>
      <c r="AZ64" s="274">
        <f t="shared" si="15"/>
        <v>0</v>
      </c>
      <c r="BA64" s="275">
        <v>0</v>
      </c>
      <c r="BB64" s="276" t="e">
        <f t="shared" si="10"/>
        <v>#REF!</v>
      </c>
      <c r="BC64" s="277" t="e">
        <f t="shared" si="16"/>
        <v>#REF!</v>
      </c>
      <c r="BD64" s="278" t="e">
        <f t="shared" si="11"/>
        <v>#REF!</v>
      </c>
      <c r="BF64" s="770" t="e">
        <f t="shared" si="17"/>
        <v>#REF!</v>
      </c>
      <c r="BG64" s="771"/>
      <c r="BH64" s="279" t="e">
        <f t="shared" si="18"/>
        <v>#REF!</v>
      </c>
      <c r="BI64" s="772" t="e">
        <f t="shared" si="19"/>
        <v>#REF!</v>
      </c>
      <c r="BJ64" s="773"/>
      <c r="BK64" s="774" t="e">
        <f>IF(BR64&gt;0,CHOOSE(MATCH(RegimeExecucao,{"Unitário","Global"},0),IF($A64="S",BR64/BN64,""),(BR64/BN64)*100),"")</f>
        <v>#REF!</v>
      </c>
      <c r="BL64" s="775"/>
      <c r="BM64" s="776"/>
      <c r="BN64" s="777" t="e">
        <f>IF(BR64&gt;0,CHOOSE(MATCH(RegimeExecucao,{"Unitário","Global"},0),IF($A64="S",ROUND(P64,arredunit),""),ROUND(R64,arredtot)),"")</f>
        <v>#REF!</v>
      </c>
      <c r="BO64" s="778"/>
      <c r="BP64" s="778"/>
      <c r="BQ64" s="779"/>
      <c r="BR64" s="777" t="e">
        <f t="shared" si="1"/>
        <v>#REF!</v>
      </c>
      <c r="BS64" s="778"/>
      <c r="BT64" s="778"/>
      <c r="BU64" s="779"/>
      <c r="BV64" s="780"/>
      <c r="BW64" s="780"/>
      <c r="BX64" s="780"/>
      <c r="BY64" s="780"/>
      <c r="BZ64" s="780"/>
      <c r="CA64" s="781"/>
      <c r="CB64" s="245"/>
      <c r="CC64" s="245"/>
    </row>
    <row r="65" spans="1:81" s="222" customFormat="1" ht="30" customHeight="1">
      <c r="A65" s="222" t="str">
        <f t="shared" si="12"/>
        <v>S</v>
      </c>
      <c r="B65" s="222">
        <f t="shared" si="13"/>
        <v>0</v>
      </c>
      <c r="C65" s="222">
        <f t="shared" ca="1" si="2"/>
        <v>8</v>
      </c>
      <c r="D65" s="222">
        <f t="shared" ca="1" si="3"/>
        <v>2</v>
      </c>
      <c r="E65" s="222">
        <f t="shared" ca="1" si="4"/>
        <v>0</v>
      </c>
      <c r="F65" s="222">
        <f t="shared" ca="1" si="5"/>
        <v>0</v>
      </c>
      <c r="G65" s="222">
        <f t="shared" ca="1" si="6"/>
        <v>3</v>
      </c>
      <c r="H65" s="222">
        <f t="shared" ca="1" si="7"/>
        <v>0</v>
      </c>
      <c r="I65" s="222">
        <f t="shared" ca="1" si="8"/>
        <v>0</v>
      </c>
      <c r="J65" s="222">
        <f t="shared" si="9"/>
        <v>2</v>
      </c>
      <c r="K65" s="269" t="s">
        <v>4</v>
      </c>
      <c r="L65" s="336" t="s">
        <v>129</v>
      </c>
      <c r="M65" s="325" t="s">
        <v>130</v>
      </c>
      <c r="N65" s="326" t="s">
        <v>43</v>
      </c>
      <c r="O65" s="327">
        <v>27</v>
      </c>
      <c r="P65" s="328">
        <v>21.237777777777779</v>
      </c>
      <c r="Q65" s="329">
        <f t="shared" si="14"/>
        <v>0</v>
      </c>
      <c r="R65" s="330">
        <f t="shared" si="20"/>
        <v>573.42000000000007</v>
      </c>
      <c r="S65" s="331">
        <f t="shared" si="21"/>
        <v>27</v>
      </c>
      <c r="T65" s="337">
        <f t="shared" si="22"/>
        <v>0</v>
      </c>
      <c r="U65" s="332">
        <f t="shared" si="23"/>
        <v>27</v>
      </c>
      <c r="V65" s="338">
        <f t="shared" si="24"/>
        <v>573.42000000000007</v>
      </c>
      <c r="W65" s="339">
        <f t="shared" si="25"/>
        <v>0</v>
      </c>
      <c r="X65" s="340">
        <f t="shared" si="26"/>
        <v>573.42000000000007</v>
      </c>
      <c r="Y65" s="333"/>
      <c r="Z65" s="334">
        <v>27</v>
      </c>
      <c r="AA65" s="328"/>
      <c r="AB65" s="328"/>
      <c r="AC65" s="328"/>
      <c r="AD65" s="328"/>
      <c r="AE65" s="328"/>
      <c r="AF65" s="328"/>
      <c r="AG65" s="328"/>
      <c r="AH65" s="328"/>
      <c r="AI65" s="328"/>
      <c r="AJ65" s="328"/>
      <c r="AK65" s="335"/>
      <c r="AL65" s="334"/>
      <c r="AM65" s="328"/>
      <c r="AN65" s="328"/>
      <c r="AO65" s="328"/>
      <c r="AP65" s="328"/>
      <c r="AQ65" s="271"/>
      <c r="AR65" s="271"/>
      <c r="AS65" s="271"/>
      <c r="AT65" s="271"/>
      <c r="AU65" s="271"/>
      <c r="AV65" s="271"/>
      <c r="AW65" s="272"/>
      <c r="AX65" s="245"/>
      <c r="AY65" s="273">
        <v>0</v>
      </c>
      <c r="AZ65" s="274">
        <f t="shared" si="15"/>
        <v>0</v>
      </c>
      <c r="BA65" s="275">
        <v>0</v>
      </c>
      <c r="BB65" s="276" t="e">
        <f t="shared" si="10"/>
        <v>#REF!</v>
      </c>
      <c r="BC65" s="277" t="e">
        <f t="shared" si="16"/>
        <v>#REF!</v>
      </c>
      <c r="BD65" s="278" t="e">
        <f t="shared" si="11"/>
        <v>#REF!</v>
      </c>
      <c r="BF65" s="770" t="e">
        <f t="shared" si="17"/>
        <v>#REF!</v>
      </c>
      <c r="BG65" s="771"/>
      <c r="BH65" s="279" t="e">
        <f t="shared" si="18"/>
        <v>#REF!</v>
      </c>
      <c r="BI65" s="772" t="e">
        <f t="shared" si="19"/>
        <v>#REF!</v>
      </c>
      <c r="BJ65" s="773"/>
      <c r="BK65" s="774" t="e">
        <f>IF(BR65&gt;0,CHOOSE(MATCH(RegimeExecucao,{"Unitário","Global"},0),IF($A65="S",BR65/BN65,""),(BR65/BN65)*100),"")</f>
        <v>#REF!</v>
      </c>
      <c r="BL65" s="775"/>
      <c r="BM65" s="776"/>
      <c r="BN65" s="777" t="e">
        <f>IF(BR65&gt;0,CHOOSE(MATCH(RegimeExecucao,{"Unitário","Global"},0),IF($A65="S",ROUND(P65,arredunit),""),ROUND(R65,arredtot)),"")</f>
        <v>#REF!</v>
      </c>
      <c r="BO65" s="778"/>
      <c r="BP65" s="778"/>
      <c r="BQ65" s="779"/>
      <c r="BR65" s="777" t="e">
        <f t="shared" si="1"/>
        <v>#REF!</v>
      </c>
      <c r="BS65" s="778"/>
      <c r="BT65" s="778"/>
      <c r="BU65" s="779"/>
      <c r="BV65" s="780"/>
      <c r="BW65" s="780"/>
      <c r="BX65" s="780"/>
      <c r="BY65" s="780"/>
      <c r="BZ65" s="780"/>
      <c r="CA65" s="781"/>
      <c r="CB65" s="245"/>
      <c r="CC65" s="245"/>
    </row>
    <row r="66" spans="1:81" s="222" customFormat="1" ht="45" customHeight="1">
      <c r="A66" s="222" t="str">
        <f t="shared" si="12"/>
        <v>S</v>
      </c>
      <c r="B66" s="222">
        <f t="shared" si="13"/>
        <v>0</v>
      </c>
      <c r="C66" s="222">
        <f t="shared" ca="1" si="2"/>
        <v>8</v>
      </c>
      <c r="D66" s="222">
        <f t="shared" ca="1" si="3"/>
        <v>2</v>
      </c>
      <c r="E66" s="222">
        <f t="shared" ca="1" si="4"/>
        <v>0</v>
      </c>
      <c r="F66" s="222">
        <f t="shared" ca="1" si="5"/>
        <v>0</v>
      </c>
      <c r="G66" s="222">
        <f t="shared" ca="1" si="6"/>
        <v>4</v>
      </c>
      <c r="H66" s="222">
        <f t="shared" ca="1" si="7"/>
        <v>0</v>
      </c>
      <c r="I66" s="222">
        <f t="shared" ca="1" si="8"/>
        <v>0</v>
      </c>
      <c r="J66" s="222">
        <f t="shared" si="9"/>
        <v>2</v>
      </c>
      <c r="K66" s="269" t="s">
        <v>4</v>
      </c>
      <c r="L66" s="336" t="s">
        <v>131</v>
      </c>
      <c r="M66" s="325" t="s">
        <v>132</v>
      </c>
      <c r="N66" s="326" t="s">
        <v>59</v>
      </c>
      <c r="O66" s="327">
        <v>50</v>
      </c>
      <c r="P66" s="328">
        <v>5.4366000000000003</v>
      </c>
      <c r="Q66" s="329">
        <f t="shared" si="14"/>
        <v>0</v>
      </c>
      <c r="R66" s="330">
        <f t="shared" si="20"/>
        <v>271.83000000000004</v>
      </c>
      <c r="S66" s="331">
        <f t="shared" si="21"/>
        <v>0</v>
      </c>
      <c r="T66" s="337">
        <f t="shared" si="22"/>
        <v>0</v>
      </c>
      <c r="U66" s="332">
        <f t="shared" si="23"/>
        <v>0</v>
      </c>
      <c r="V66" s="338">
        <f t="shared" si="24"/>
        <v>0</v>
      </c>
      <c r="W66" s="339">
        <f t="shared" si="25"/>
        <v>0</v>
      </c>
      <c r="X66" s="340">
        <f t="shared" si="26"/>
        <v>0</v>
      </c>
      <c r="Y66" s="333"/>
      <c r="Z66" s="334"/>
      <c r="AA66" s="328"/>
      <c r="AB66" s="328"/>
      <c r="AC66" s="328"/>
      <c r="AD66" s="328"/>
      <c r="AE66" s="328"/>
      <c r="AF66" s="328"/>
      <c r="AG66" s="328"/>
      <c r="AH66" s="328"/>
      <c r="AI66" s="328"/>
      <c r="AJ66" s="328"/>
      <c r="AK66" s="335"/>
      <c r="AL66" s="334"/>
      <c r="AM66" s="328"/>
      <c r="AN66" s="328"/>
      <c r="AO66" s="328"/>
      <c r="AP66" s="328"/>
      <c r="AQ66" s="271"/>
      <c r="AR66" s="271"/>
      <c r="AS66" s="271"/>
      <c r="AT66" s="271"/>
      <c r="AU66" s="271"/>
      <c r="AV66" s="271"/>
      <c r="AW66" s="272"/>
      <c r="AX66" s="245"/>
      <c r="AY66" s="273">
        <v>0</v>
      </c>
      <c r="AZ66" s="274">
        <f t="shared" si="15"/>
        <v>0</v>
      </c>
      <c r="BA66" s="275">
        <v>0</v>
      </c>
      <c r="BB66" s="276" t="e">
        <f t="shared" si="10"/>
        <v>#REF!</v>
      </c>
      <c r="BC66" s="277" t="e">
        <f t="shared" si="16"/>
        <v>#REF!</v>
      </c>
      <c r="BD66" s="278" t="e">
        <f t="shared" si="11"/>
        <v>#REF!</v>
      </c>
      <c r="BF66" s="770" t="e">
        <f t="shared" si="17"/>
        <v>#REF!</v>
      </c>
      <c r="BG66" s="771"/>
      <c r="BH66" s="279" t="e">
        <f t="shared" si="18"/>
        <v>#REF!</v>
      </c>
      <c r="BI66" s="772" t="e">
        <f t="shared" si="19"/>
        <v>#REF!</v>
      </c>
      <c r="BJ66" s="773"/>
      <c r="BK66" s="774" t="e">
        <f>IF(BR66&gt;0,CHOOSE(MATCH(RegimeExecucao,{"Unitário","Global"},0),IF($A66="S",BR66/BN66,""),(BR66/BN66)*100),"")</f>
        <v>#REF!</v>
      </c>
      <c r="BL66" s="775"/>
      <c r="BM66" s="776"/>
      <c r="BN66" s="777" t="e">
        <f>IF(BR66&gt;0,CHOOSE(MATCH(RegimeExecucao,{"Unitário","Global"},0),IF($A66="S",ROUND(P66,arredunit),""),ROUND(R66,arredtot)),"")</f>
        <v>#REF!</v>
      </c>
      <c r="BO66" s="778"/>
      <c r="BP66" s="778"/>
      <c r="BQ66" s="779"/>
      <c r="BR66" s="777" t="e">
        <f t="shared" si="1"/>
        <v>#REF!</v>
      </c>
      <c r="BS66" s="778"/>
      <c r="BT66" s="778"/>
      <c r="BU66" s="779"/>
      <c r="BV66" s="780"/>
      <c r="BW66" s="780"/>
      <c r="BX66" s="780"/>
      <c r="BY66" s="780"/>
      <c r="BZ66" s="780"/>
      <c r="CA66" s="781"/>
      <c r="CB66" s="245"/>
      <c r="CC66" s="245"/>
    </row>
    <row r="67" spans="1:81" s="222" customFormat="1" ht="33" customHeight="1">
      <c r="A67" s="222" t="str">
        <f t="shared" si="12"/>
        <v>S</v>
      </c>
      <c r="B67" s="222">
        <f t="shared" si="13"/>
        <v>0</v>
      </c>
      <c r="C67" s="222">
        <f t="shared" ca="1" si="2"/>
        <v>8</v>
      </c>
      <c r="D67" s="222">
        <f t="shared" ca="1" si="3"/>
        <v>2</v>
      </c>
      <c r="E67" s="222">
        <f t="shared" ca="1" si="4"/>
        <v>0</v>
      </c>
      <c r="F67" s="222">
        <f t="shared" ca="1" si="5"/>
        <v>0</v>
      </c>
      <c r="G67" s="222">
        <f t="shared" ca="1" si="6"/>
        <v>5</v>
      </c>
      <c r="H67" s="222">
        <f t="shared" ca="1" si="7"/>
        <v>0</v>
      </c>
      <c r="I67" s="222">
        <f t="shared" ca="1" si="8"/>
        <v>0</v>
      </c>
      <c r="J67" s="222">
        <f t="shared" si="9"/>
        <v>2</v>
      </c>
      <c r="K67" s="269" t="s">
        <v>4</v>
      </c>
      <c r="L67" s="336" t="s">
        <v>133</v>
      </c>
      <c r="M67" s="325" t="s">
        <v>134</v>
      </c>
      <c r="N67" s="326" t="s">
        <v>59</v>
      </c>
      <c r="O67" s="327">
        <v>50</v>
      </c>
      <c r="P67" s="328">
        <v>2.4278</v>
      </c>
      <c r="Q67" s="329">
        <f t="shared" si="14"/>
        <v>0</v>
      </c>
      <c r="R67" s="330">
        <f t="shared" si="20"/>
        <v>121.39</v>
      </c>
      <c r="S67" s="331">
        <f t="shared" si="21"/>
        <v>0</v>
      </c>
      <c r="T67" s="337">
        <f t="shared" si="22"/>
        <v>0</v>
      </c>
      <c r="U67" s="332">
        <f t="shared" si="23"/>
        <v>0</v>
      </c>
      <c r="V67" s="338">
        <f t="shared" si="24"/>
        <v>0</v>
      </c>
      <c r="W67" s="339">
        <f t="shared" si="25"/>
        <v>0</v>
      </c>
      <c r="X67" s="340">
        <f t="shared" si="26"/>
        <v>0</v>
      </c>
      <c r="Y67" s="333"/>
      <c r="Z67" s="334"/>
      <c r="AA67" s="328"/>
      <c r="AB67" s="328"/>
      <c r="AC67" s="328"/>
      <c r="AD67" s="328"/>
      <c r="AE67" s="328"/>
      <c r="AF67" s="328"/>
      <c r="AG67" s="328"/>
      <c r="AH67" s="328"/>
      <c r="AI67" s="328"/>
      <c r="AJ67" s="328"/>
      <c r="AK67" s="335"/>
      <c r="AL67" s="334"/>
      <c r="AM67" s="328"/>
      <c r="AN67" s="328"/>
      <c r="AO67" s="328"/>
      <c r="AP67" s="328"/>
      <c r="AQ67" s="271"/>
      <c r="AR67" s="271"/>
      <c r="AS67" s="271"/>
      <c r="AT67" s="271"/>
      <c r="AU67" s="271"/>
      <c r="AV67" s="271"/>
      <c r="AW67" s="272"/>
      <c r="AX67" s="245"/>
      <c r="AY67" s="273">
        <v>0</v>
      </c>
      <c r="AZ67" s="274">
        <f t="shared" si="15"/>
        <v>0</v>
      </c>
      <c r="BA67" s="275">
        <v>0</v>
      </c>
      <c r="BB67" s="276" t="e">
        <f t="shared" si="10"/>
        <v>#REF!</v>
      </c>
      <c r="BC67" s="277" t="e">
        <f t="shared" si="16"/>
        <v>#REF!</v>
      </c>
      <c r="BD67" s="278" t="e">
        <f t="shared" si="11"/>
        <v>#REF!</v>
      </c>
      <c r="BF67" s="770" t="e">
        <f t="shared" si="17"/>
        <v>#REF!</v>
      </c>
      <c r="BG67" s="771"/>
      <c r="BH67" s="279" t="e">
        <f t="shared" si="18"/>
        <v>#REF!</v>
      </c>
      <c r="BI67" s="772" t="e">
        <f t="shared" si="19"/>
        <v>#REF!</v>
      </c>
      <c r="BJ67" s="773"/>
      <c r="BK67" s="774" t="e">
        <f>IF(BR67&gt;0,CHOOSE(MATCH(RegimeExecucao,{"Unitário","Global"},0),IF($A67="S",BR67/BN67,""),(BR67/BN67)*100),"")</f>
        <v>#REF!</v>
      </c>
      <c r="BL67" s="775"/>
      <c r="BM67" s="776"/>
      <c r="BN67" s="777" t="e">
        <f>IF(BR67&gt;0,CHOOSE(MATCH(RegimeExecucao,{"Unitário","Global"},0),IF($A67="S",ROUND(P67,arredunit),""),ROUND(R67,arredtot)),"")</f>
        <v>#REF!</v>
      </c>
      <c r="BO67" s="778"/>
      <c r="BP67" s="778"/>
      <c r="BQ67" s="779"/>
      <c r="BR67" s="777" t="e">
        <f t="shared" si="1"/>
        <v>#REF!</v>
      </c>
      <c r="BS67" s="778"/>
      <c r="BT67" s="778"/>
      <c r="BU67" s="779"/>
      <c r="BV67" s="780"/>
      <c r="BW67" s="780"/>
      <c r="BX67" s="780"/>
      <c r="BY67" s="780"/>
      <c r="BZ67" s="780"/>
      <c r="CA67" s="781"/>
      <c r="CB67" s="245"/>
      <c r="CC67" s="245"/>
    </row>
    <row r="68" spans="1:81" s="222" customFormat="1" ht="43.2" customHeight="1">
      <c r="A68" s="222" t="str">
        <f t="shared" si="12"/>
        <v>S</v>
      </c>
      <c r="B68" s="222">
        <f t="shared" si="13"/>
        <v>0</v>
      </c>
      <c r="C68" s="222">
        <f t="shared" ca="1" si="2"/>
        <v>8</v>
      </c>
      <c r="D68" s="222">
        <f t="shared" ca="1" si="3"/>
        <v>2</v>
      </c>
      <c r="E68" s="222">
        <f t="shared" ca="1" si="4"/>
        <v>0</v>
      </c>
      <c r="F68" s="222">
        <f t="shared" ca="1" si="5"/>
        <v>0</v>
      </c>
      <c r="G68" s="222">
        <f t="shared" ca="1" si="6"/>
        <v>6</v>
      </c>
      <c r="H68" s="222">
        <f t="shared" ca="1" si="7"/>
        <v>0</v>
      </c>
      <c r="I68" s="222">
        <f t="shared" ca="1" si="8"/>
        <v>0</v>
      </c>
      <c r="J68" s="222">
        <f t="shared" si="9"/>
        <v>2</v>
      </c>
      <c r="K68" s="269" t="s">
        <v>4</v>
      </c>
      <c r="L68" s="336" t="s">
        <v>135</v>
      </c>
      <c r="M68" s="325" t="s">
        <v>136</v>
      </c>
      <c r="N68" s="326" t="s">
        <v>43</v>
      </c>
      <c r="O68" s="327">
        <v>26.998698255662589</v>
      </c>
      <c r="P68" s="328">
        <v>38.409999999999997</v>
      </c>
      <c r="Q68" s="329">
        <f t="shared" si="14"/>
        <v>0</v>
      </c>
      <c r="R68" s="330">
        <f t="shared" si="20"/>
        <v>1037.02</v>
      </c>
      <c r="S68" s="331">
        <f t="shared" si="21"/>
        <v>27</v>
      </c>
      <c r="T68" s="337">
        <f t="shared" si="22"/>
        <v>0</v>
      </c>
      <c r="U68" s="332">
        <f t="shared" si="23"/>
        <v>27</v>
      </c>
      <c r="V68" s="338">
        <f t="shared" si="24"/>
        <v>1037.02</v>
      </c>
      <c r="W68" s="339">
        <f t="shared" si="25"/>
        <v>0</v>
      </c>
      <c r="X68" s="340">
        <f t="shared" si="26"/>
        <v>1037.02</v>
      </c>
      <c r="Y68" s="333"/>
      <c r="Z68" s="334">
        <v>27</v>
      </c>
      <c r="AA68" s="328"/>
      <c r="AB68" s="328"/>
      <c r="AC68" s="328"/>
      <c r="AD68" s="328"/>
      <c r="AE68" s="328"/>
      <c r="AF68" s="328"/>
      <c r="AG68" s="328"/>
      <c r="AH68" s="328"/>
      <c r="AI68" s="328"/>
      <c r="AJ68" s="328"/>
      <c r="AK68" s="335"/>
      <c r="AL68" s="334"/>
      <c r="AM68" s="328"/>
      <c r="AN68" s="328"/>
      <c r="AO68" s="328"/>
      <c r="AP68" s="328"/>
      <c r="AQ68" s="271"/>
      <c r="AR68" s="271"/>
      <c r="AS68" s="271"/>
      <c r="AT68" s="271"/>
      <c r="AU68" s="271"/>
      <c r="AV68" s="271"/>
      <c r="AW68" s="272"/>
      <c r="AX68" s="245"/>
      <c r="AY68" s="273">
        <v>0</v>
      </c>
      <c r="AZ68" s="274">
        <f t="shared" si="15"/>
        <v>0</v>
      </c>
      <c r="BA68" s="275">
        <v>0</v>
      </c>
      <c r="BB68" s="276" t="e">
        <f t="shared" si="10"/>
        <v>#REF!</v>
      </c>
      <c r="BC68" s="277" t="e">
        <f t="shared" si="16"/>
        <v>#REF!</v>
      </c>
      <c r="BD68" s="278" t="e">
        <f t="shared" si="11"/>
        <v>#REF!</v>
      </c>
      <c r="BF68" s="770" t="e">
        <f t="shared" si="17"/>
        <v>#REF!</v>
      </c>
      <c r="BG68" s="771"/>
      <c r="BH68" s="279" t="e">
        <f t="shared" si="18"/>
        <v>#REF!</v>
      </c>
      <c r="BI68" s="772" t="e">
        <f t="shared" si="19"/>
        <v>#REF!</v>
      </c>
      <c r="BJ68" s="773"/>
      <c r="BK68" s="774" t="e">
        <f>IF(BR68&gt;0,CHOOSE(MATCH(RegimeExecucao,{"Unitário","Global"},0),IF($A68="S",BR68/BN68,""),(BR68/BN68)*100),"")</f>
        <v>#REF!</v>
      </c>
      <c r="BL68" s="775"/>
      <c r="BM68" s="776"/>
      <c r="BN68" s="777" t="e">
        <f>IF(BR68&gt;0,CHOOSE(MATCH(RegimeExecucao,{"Unitário","Global"},0),IF($A68="S",ROUND(P68,arredunit),""),ROUND(R68,arredtot)),"")</f>
        <v>#REF!</v>
      </c>
      <c r="BO68" s="778"/>
      <c r="BP68" s="778"/>
      <c r="BQ68" s="779"/>
      <c r="BR68" s="777" t="e">
        <f t="shared" si="1"/>
        <v>#REF!</v>
      </c>
      <c r="BS68" s="778"/>
      <c r="BT68" s="778"/>
      <c r="BU68" s="779"/>
      <c r="BV68" s="780"/>
      <c r="BW68" s="780"/>
      <c r="BX68" s="780"/>
      <c r="BY68" s="780"/>
      <c r="BZ68" s="780"/>
      <c r="CA68" s="781"/>
      <c r="CB68" s="245"/>
      <c r="CC68" s="245"/>
    </row>
    <row r="69" spans="1:81" s="222" customFormat="1" ht="13.8">
      <c r="A69" s="222">
        <f t="shared" si="12"/>
        <v>1</v>
      </c>
      <c r="B69" s="222">
        <f t="shared" ca="1" si="13"/>
        <v>5</v>
      </c>
      <c r="C69" s="222">
        <f t="shared" ca="1" si="2"/>
        <v>9</v>
      </c>
      <c r="D69" s="222">
        <f t="shared" ca="1" si="3"/>
        <v>0</v>
      </c>
      <c r="E69" s="222">
        <f t="shared" ca="1" si="4"/>
        <v>0</v>
      </c>
      <c r="F69" s="222">
        <f t="shared" ca="1" si="5"/>
        <v>0</v>
      </c>
      <c r="G69" s="222">
        <f t="shared" ca="1" si="6"/>
        <v>0</v>
      </c>
      <c r="H69" s="222">
        <f t="shared" ca="1" si="7"/>
        <v>27</v>
      </c>
      <c r="I69" s="222">
        <f t="shared" ca="1" si="8"/>
        <v>5</v>
      </c>
      <c r="J69" s="222">
        <f t="shared" si="9"/>
        <v>0</v>
      </c>
      <c r="K69" s="269" t="str">
        <f>CHOOSE(1+LOG(1+2*($J69=3)+4*($J69=2)+8*($J69=1)+16*(AND($L69&lt;&gt;"",$L69&lt;&gt;0,$J69=0))+32*OR($N69&lt;&gt;"",RegimeExecucao="Global",AND($L69="",$M69="",$N69="")),2),"","Nível 4","Nível 3","Nível 2","Meta","Serviço")</f>
        <v>Meta</v>
      </c>
      <c r="L69" s="324">
        <v>9</v>
      </c>
      <c r="M69" s="325" t="s">
        <v>137</v>
      </c>
      <c r="N69" s="326"/>
      <c r="O69" s="327"/>
      <c r="P69" s="328"/>
      <c r="Q69" s="329">
        <f t="shared" si="14"/>
        <v>20723.019999999997</v>
      </c>
      <c r="R69" s="330">
        <f>SUM(R70:R73)</f>
        <v>20723.019999999997</v>
      </c>
      <c r="S69" s="331">
        <f t="shared" si="21"/>
        <v>0</v>
      </c>
      <c r="T69" s="337">
        <f t="shared" si="22"/>
        <v>0</v>
      </c>
      <c r="U69" s="332">
        <f t="shared" si="23"/>
        <v>0</v>
      </c>
      <c r="V69" s="338">
        <f t="shared" si="24"/>
        <v>20723.019999999997</v>
      </c>
      <c r="W69" s="339">
        <f>SUM(W70:W73)</f>
        <v>8841.7778352490423</v>
      </c>
      <c r="X69" s="340">
        <f t="shared" si="26"/>
        <v>29564.797835249039</v>
      </c>
      <c r="Y69" s="333"/>
      <c r="Z69" s="334"/>
      <c r="AA69" s="328"/>
      <c r="AB69" s="328"/>
      <c r="AC69" s="328"/>
      <c r="AD69" s="328"/>
      <c r="AE69" s="328"/>
      <c r="AF69" s="328"/>
      <c r="AG69" s="328"/>
      <c r="AH69" s="328"/>
      <c r="AI69" s="328"/>
      <c r="AJ69" s="328"/>
      <c r="AK69" s="335"/>
      <c r="AL69" s="334"/>
      <c r="AM69" s="328"/>
      <c r="AN69" s="328"/>
      <c r="AO69" s="328"/>
      <c r="AP69" s="328"/>
      <c r="AQ69" s="271"/>
      <c r="AR69" s="271"/>
      <c r="AS69" s="271"/>
      <c r="AT69" s="271"/>
      <c r="AU69" s="271"/>
      <c r="AV69" s="271"/>
      <c r="AW69" s="272"/>
      <c r="AX69" s="245"/>
      <c r="AY69" s="273">
        <v>0</v>
      </c>
      <c r="AZ69" s="274">
        <f t="shared" si="15"/>
        <v>0</v>
      </c>
      <c r="BA69" s="275">
        <v>0</v>
      </c>
      <c r="BB69" s="276" t="e">
        <f t="shared" ca="1" si="10"/>
        <v>#REF!</v>
      </c>
      <c r="BC69" s="277" t="e">
        <f t="shared" ca="1" si="16"/>
        <v>#REF!</v>
      </c>
      <c r="BD69" s="278" t="e">
        <f t="shared" ca="1" si="11"/>
        <v>#REF!</v>
      </c>
      <c r="BF69" s="770" t="e">
        <f t="shared" ca="1" si="17"/>
        <v>#REF!</v>
      </c>
      <c r="BG69" s="771"/>
      <c r="BH69" s="279" t="e">
        <f t="shared" ca="1" si="18"/>
        <v>#REF!</v>
      </c>
      <c r="BI69" s="772" t="e">
        <f t="shared" ca="1" si="19"/>
        <v>#REF!</v>
      </c>
      <c r="BJ69" s="773"/>
      <c r="BK69" s="774" t="e">
        <f ca="1">IF(BR69&gt;0,CHOOSE(MATCH(RegimeExecucao,{"Unitário","Global"},0),IF($A69="S",BR69/BN69,""),(BR69/BN69)*100),"")</f>
        <v>#REF!</v>
      </c>
      <c r="BL69" s="775"/>
      <c r="BM69" s="776"/>
      <c r="BN69" s="777" t="e">
        <f ca="1">IF(BR69&gt;0,CHOOSE(MATCH(RegimeExecucao,{"Unitário","Global"},0),IF($A69="S",ROUND(P69,arredunit),""),ROUND(R69,arredtot)),"")</f>
        <v>#REF!</v>
      </c>
      <c r="BO69" s="778"/>
      <c r="BP69" s="778"/>
      <c r="BQ69" s="779"/>
      <c r="BR69" s="777" t="e">
        <f t="shared" ca="1" si="1"/>
        <v>#REF!</v>
      </c>
      <c r="BS69" s="778"/>
      <c r="BT69" s="778"/>
      <c r="BU69" s="779"/>
      <c r="BV69" s="780"/>
      <c r="BW69" s="780"/>
      <c r="BX69" s="780"/>
      <c r="BY69" s="780"/>
      <c r="BZ69" s="780"/>
      <c r="CA69" s="781"/>
      <c r="CB69" s="245"/>
      <c r="CC69" s="245"/>
    </row>
    <row r="70" spans="1:81" s="222" customFormat="1" ht="31.8" customHeight="1">
      <c r="A70" s="222" t="str">
        <f t="shared" si="12"/>
        <v>S</v>
      </c>
      <c r="B70" s="222">
        <f t="shared" si="13"/>
        <v>0</v>
      </c>
      <c r="C70" s="222">
        <f t="shared" ca="1" si="2"/>
        <v>9</v>
      </c>
      <c r="D70" s="222">
        <f t="shared" ca="1" si="3"/>
        <v>0</v>
      </c>
      <c r="E70" s="222">
        <f t="shared" ca="1" si="4"/>
        <v>0</v>
      </c>
      <c r="F70" s="222">
        <f t="shared" ca="1" si="5"/>
        <v>0</v>
      </c>
      <c r="G70" s="222">
        <f t="shared" ca="1" si="6"/>
        <v>1</v>
      </c>
      <c r="H70" s="222">
        <f t="shared" ca="1" si="7"/>
        <v>0</v>
      </c>
      <c r="I70" s="222">
        <f t="shared" ca="1" si="8"/>
        <v>0</v>
      </c>
      <c r="J70" s="222">
        <f t="shared" si="9"/>
        <v>1</v>
      </c>
      <c r="K70" s="269" t="s">
        <v>4</v>
      </c>
      <c r="L70" s="336" t="s">
        <v>138</v>
      </c>
      <c r="M70" s="325" t="s">
        <v>139</v>
      </c>
      <c r="N70" s="326" t="s">
        <v>43</v>
      </c>
      <c r="O70" s="327">
        <v>208</v>
      </c>
      <c r="P70" s="328">
        <v>26.591105769230769</v>
      </c>
      <c r="Q70" s="329">
        <f t="shared" si="14"/>
        <v>0</v>
      </c>
      <c r="R70" s="330">
        <f t="shared" si="20"/>
        <v>5530.95</v>
      </c>
      <c r="S70" s="331">
        <f t="shared" si="21"/>
        <v>104</v>
      </c>
      <c r="T70" s="337">
        <f t="shared" si="22"/>
        <v>104</v>
      </c>
      <c r="U70" s="332">
        <f t="shared" si="23"/>
        <v>208</v>
      </c>
      <c r="V70" s="338">
        <f t="shared" si="24"/>
        <v>2765.4749999999999</v>
      </c>
      <c r="W70" s="339">
        <f t="shared" si="25"/>
        <v>2765.4749999999999</v>
      </c>
      <c r="X70" s="340">
        <f t="shared" si="26"/>
        <v>5530.95</v>
      </c>
      <c r="Y70" s="333"/>
      <c r="Z70" s="334">
        <v>104</v>
      </c>
      <c r="AA70" s="328"/>
      <c r="AB70" s="328">
        <v>104</v>
      </c>
      <c r="AC70" s="328"/>
      <c r="AD70" s="328"/>
      <c r="AE70" s="328"/>
      <c r="AF70" s="328"/>
      <c r="AG70" s="328"/>
      <c r="AH70" s="328"/>
      <c r="AI70" s="328"/>
      <c r="AJ70" s="328"/>
      <c r="AK70" s="335"/>
      <c r="AL70" s="334"/>
      <c r="AM70" s="328"/>
      <c r="AN70" s="328"/>
      <c r="AO70" s="328"/>
      <c r="AP70" s="328"/>
      <c r="AQ70" s="271"/>
      <c r="AR70" s="271"/>
      <c r="AS70" s="271"/>
      <c r="AT70" s="271"/>
      <c r="AU70" s="271"/>
      <c r="AV70" s="271"/>
      <c r="AW70" s="272"/>
      <c r="AX70" s="245"/>
      <c r="AY70" s="273">
        <v>0</v>
      </c>
      <c r="AZ70" s="274">
        <f t="shared" si="15"/>
        <v>0</v>
      </c>
      <c r="BA70" s="275">
        <v>0</v>
      </c>
      <c r="BB70" s="276" t="e">
        <f t="shared" si="10"/>
        <v>#REF!</v>
      </c>
      <c r="BC70" s="277" t="e">
        <f t="shared" si="16"/>
        <v>#REF!</v>
      </c>
      <c r="BD70" s="278" t="e">
        <f t="shared" si="11"/>
        <v>#REF!</v>
      </c>
      <c r="BF70" s="770" t="e">
        <f t="shared" si="17"/>
        <v>#REF!</v>
      </c>
      <c r="BG70" s="771"/>
      <c r="BH70" s="279" t="e">
        <f t="shared" si="18"/>
        <v>#REF!</v>
      </c>
      <c r="BI70" s="772" t="e">
        <f t="shared" si="19"/>
        <v>#REF!</v>
      </c>
      <c r="BJ70" s="773"/>
      <c r="BK70" s="774" t="e">
        <f>IF(BR70&gt;0,CHOOSE(MATCH(RegimeExecucao,{"Unitário","Global"},0),IF($A70="S",BR70/BN70,""),(BR70/BN70)*100),"")</f>
        <v>#REF!</v>
      </c>
      <c r="BL70" s="775"/>
      <c r="BM70" s="776"/>
      <c r="BN70" s="777" t="e">
        <f>IF(BR70&gt;0,CHOOSE(MATCH(RegimeExecucao,{"Unitário","Global"},0),IF($A70="S",ROUND(P70,arredunit),""),ROUND(R70,arredtot)),"")</f>
        <v>#REF!</v>
      </c>
      <c r="BO70" s="778"/>
      <c r="BP70" s="778"/>
      <c r="BQ70" s="779"/>
      <c r="BR70" s="777" t="e">
        <f t="shared" si="1"/>
        <v>#REF!</v>
      </c>
      <c r="BS70" s="778"/>
      <c r="BT70" s="778"/>
      <c r="BU70" s="779"/>
      <c r="BV70" s="780"/>
      <c r="BW70" s="780"/>
      <c r="BX70" s="780"/>
      <c r="BY70" s="780"/>
      <c r="BZ70" s="780"/>
      <c r="CA70" s="781"/>
      <c r="CB70" s="245"/>
      <c r="CC70" s="245"/>
    </row>
    <row r="71" spans="1:81" s="222" customFormat="1" ht="30" customHeight="1">
      <c r="A71" s="222" t="str">
        <f t="shared" si="12"/>
        <v>S</v>
      </c>
      <c r="B71" s="222">
        <f t="shared" si="13"/>
        <v>0</v>
      </c>
      <c r="C71" s="222">
        <f t="shared" ca="1" si="2"/>
        <v>9</v>
      </c>
      <c r="D71" s="222">
        <f t="shared" ca="1" si="3"/>
        <v>0</v>
      </c>
      <c r="E71" s="222">
        <f t="shared" ca="1" si="4"/>
        <v>0</v>
      </c>
      <c r="F71" s="222">
        <f t="shared" ca="1" si="5"/>
        <v>0</v>
      </c>
      <c r="G71" s="222">
        <f t="shared" ca="1" si="6"/>
        <v>2</v>
      </c>
      <c r="H71" s="222">
        <f t="shared" ca="1" si="7"/>
        <v>0</v>
      </c>
      <c r="I71" s="222">
        <f t="shared" ca="1" si="8"/>
        <v>0</v>
      </c>
      <c r="J71" s="222">
        <f t="shared" si="9"/>
        <v>1</v>
      </c>
      <c r="K71" s="269" t="s">
        <v>4</v>
      </c>
      <c r="L71" s="336" t="s">
        <v>140</v>
      </c>
      <c r="M71" s="325" t="s">
        <v>141</v>
      </c>
      <c r="N71" s="326" t="s">
        <v>43</v>
      </c>
      <c r="O71" s="327">
        <v>783</v>
      </c>
      <c r="P71" s="328">
        <v>13.18662835249042</v>
      </c>
      <c r="Q71" s="329">
        <f t="shared" si="14"/>
        <v>0</v>
      </c>
      <c r="R71" s="330">
        <f t="shared" si="20"/>
        <v>10325.129999999999</v>
      </c>
      <c r="S71" s="331">
        <f t="shared" si="21"/>
        <v>0</v>
      </c>
      <c r="T71" s="337">
        <f t="shared" si="22"/>
        <v>100</v>
      </c>
      <c r="U71" s="332">
        <f t="shared" si="23"/>
        <v>100</v>
      </c>
      <c r="V71" s="338">
        <f t="shared" si="24"/>
        <v>0</v>
      </c>
      <c r="W71" s="339">
        <f t="shared" si="25"/>
        <v>1318.662835249042</v>
      </c>
      <c r="X71" s="340">
        <f t="shared" si="26"/>
        <v>1318.662835249042</v>
      </c>
      <c r="Y71" s="333"/>
      <c r="Z71" s="334"/>
      <c r="AA71" s="328"/>
      <c r="AB71" s="328">
        <v>100</v>
      </c>
      <c r="AC71" s="328"/>
      <c r="AD71" s="328"/>
      <c r="AE71" s="328"/>
      <c r="AF71" s="328"/>
      <c r="AG71" s="328"/>
      <c r="AH71" s="328"/>
      <c r="AI71" s="328"/>
      <c r="AJ71" s="328"/>
      <c r="AK71" s="335"/>
      <c r="AL71" s="334"/>
      <c r="AM71" s="328"/>
      <c r="AN71" s="328"/>
      <c r="AO71" s="328"/>
      <c r="AP71" s="328"/>
      <c r="AQ71" s="271"/>
      <c r="AR71" s="271"/>
      <c r="AS71" s="271"/>
      <c r="AT71" s="271"/>
      <c r="AU71" s="271"/>
      <c r="AV71" s="271"/>
      <c r="AW71" s="272"/>
      <c r="AX71" s="245"/>
      <c r="AY71" s="273">
        <v>0</v>
      </c>
      <c r="AZ71" s="274">
        <f t="shared" si="15"/>
        <v>0</v>
      </c>
      <c r="BA71" s="275">
        <v>0</v>
      </c>
      <c r="BB71" s="276" t="e">
        <f t="shared" si="10"/>
        <v>#REF!</v>
      </c>
      <c r="BC71" s="277" t="e">
        <f t="shared" si="16"/>
        <v>#REF!</v>
      </c>
      <c r="BD71" s="278" t="e">
        <f t="shared" si="11"/>
        <v>#REF!</v>
      </c>
      <c r="BF71" s="770" t="e">
        <f t="shared" si="17"/>
        <v>#REF!</v>
      </c>
      <c r="BG71" s="771"/>
      <c r="BH71" s="279" t="e">
        <f t="shared" si="18"/>
        <v>#REF!</v>
      </c>
      <c r="BI71" s="772" t="e">
        <f t="shared" si="19"/>
        <v>#REF!</v>
      </c>
      <c r="BJ71" s="773"/>
      <c r="BK71" s="774" t="e">
        <f>IF(BR71&gt;0,CHOOSE(MATCH(RegimeExecucao,{"Unitário","Global"},0),IF($A71="S",BR71/BN71,""),(BR71/BN71)*100),"")</f>
        <v>#REF!</v>
      </c>
      <c r="BL71" s="775"/>
      <c r="BM71" s="776"/>
      <c r="BN71" s="777" t="e">
        <f>IF(BR71&gt;0,CHOOSE(MATCH(RegimeExecucao,{"Unitário","Global"},0),IF($A71="S",ROUND(P71,arredunit),""),ROUND(R71,arredtot)),"")</f>
        <v>#REF!</v>
      </c>
      <c r="BO71" s="778"/>
      <c r="BP71" s="778"/>
      <c r="BQ71" s="779"/>
      <c r="BR71" s="777" t="e">
        <f t="shared" si="1"/>
        <v>#REF!</v>
      </c>
      <c r="BS71" s="778"/>
      <c r="BT71" s="778"/>
      <c r="BU71" s="779"/>
      <c r="BV71" s="780"/>
      <c r="BW71" s="780"/>
      <c r="BX71" s="780"/>
      <c r="BY71" s="780"/>
      <c r="BZ71" s="780"/>
      <c r="CA71" s="781"/>
      <c r="CB71" s="245"/>
      <c r="CC71" s="245"/>
    </row>
    <row r="72" spans="1:81" s="222" customFormat="1" ht="16.8" customHeight="1">
      <c r="A72" s="222" t="str">
        <f t="shared" si="12"/>
        <v>S</v>
      </c>
      <c r="B72" s="222">
        <f t="shared" si="13"/>
        <v>0</v>
      </c>
      <c r="C72" s="222">
        <f t="shared" ca="1" si="2"/>
        <v>9</v>
      </c>
      <c r="D72" s="222">
        <f t="shared" ca="1" si="3"/>
        <v>0</v>
      </c>
      <c r="E72" s="222">
        <f t="shared" ca="1" si="4"/>
        <v>0</v>
      </c>
      <c r="F72" s="222">
        <f t="shared" ca="1" si="5"/>
        <v>0</v>
      </c>
      <c r="G72" s="222">
        <f t="shared" ca="1" si="6"/>
        <v>3</v>
      </c>
      <c r="H72" s="222">
        <f t="shared" ca="1" si="7"/>
        <v>0</v>
      </c>
      <c r="I72" s="222">
        <f t="shared" ca="1" si="8"/>
        <v>0</v>
      </c>
      <c r="J72" s="222">
        <f t="shared" si="9"/>
        <v>1</v>
      </c>
      <c r="K72" s="269" t="s">
        <v>4</v>
      </c>
      <c r="L72" s="336" t="s">
        <v>142</v>
      </c>
      <c r="M72" s="325" t="s">
        <v>143</v>
      </c>
      <c r="N72" s="326" t="s">
        <v>43</v>
      </c>
      <c r="O72" s="327">
        <v>4.2595479345284488</v>
      </c>
      <c r="P72" s="328">
        <v>25.66</v>
      </c>
      <c r="Q72" s="329">
        <f t="shared" si="14"/>
        <v>0</v>
      </c>
      <c r="R72" s="330">
        <f t="shared" si="20"/>
        <v>109.3</v>
      </c>
      <c r="S72" s="331">
        <f t="shared" si="21"/>
        <v>0</v>
      </c>
      <c r="T72" s="337">
        <f t="shared" si="22"/>
        <v>0</v>
      </c>
      <c r="U72" s="332">
        <f t="shared" si="23"/>
        <v>0</v>
      </c>
      <c r="V72" s="338">
        <f t="shared" si="24"/>
        <v>0</v>
      </c>
      <c r="W72" s="339">
        <f t="shared" si="25"/>
        <v>0</v>
      </c>
      <c r="X72" s="340">
        <f t="shared" si="26"/>
        <v>0</v>
      </c>
      <c r="Y72" s="333"/>
      <c r="Z72" s="334"/>
      <c r="AA72" s="328"/>
      <c r="AB72" s="328"/>
      <c r="AC72" s="328"/>
      <c r="AD72" s="328"/>
      <c r="AE72" s="328"/>
      <c r="AF72" s="328"/>
      <c r="AG72" s="328"/>
      <c r="AH72" s="328"/>
      <c r="AI72" s="328"/>
      <c r="AJ72" s="328"/>
      <c r="AK72" s="335"/>
      <c r="AL72" s="334"/>
      <c r="AM72" s="328"/>
      <c r="AN72" s="328"/>
      <c r="AO72" s="328"/>
      <c r="AP72" s="328"/>
      <c r="AQ72" s="271"/>
      <c r="AR72" s="271"/>
      <c r="AS72" s="271"/>
      <c r="AT72" s="271"/>
      <c r="AU72" s="271"/>
      <c r="AV72" s="271"/>
      <c r="AW72" s="272"/>
      <c r="AX72" s="245"/>
      <c r="AY72" s="273">
        <v>0</v>
      </c>
      <c r="AZ72" s="274">
        <f t="shared" si="15"/>
        <v>0</v>
      </c>
      <c r="BA72" s="275">
        <v>0</v>
      </c>
      <c r="BB72" s="276" t="e">
        <f t="shared" si="10"/>
        <v>#REF!</v>
      </c>
      <c r="BC72" s="277" t="e">
        <f t="shared" si="16"/>
        <v>#REF!</v>
      </c>
      <c r="BD72" s="278" t="e">
        <f t="shared" si="11"/>
        <v>#REF!</v>
      </c>
      <c r="BF72" s="770" t="e">
        <f t="shared" si="17"/>
        <v>#REF!</v>
      </c>
      <c r="BG72" s="771"/>
      <c r="BH72" s="279" t="e">
        <f t="shared" si="18"/>
        <v>#REF!</v>
      </c>
      <c r="BI72" s="772" t="e">
        <f t="shared" si="19"/>
        <v>#REF!</v>
      </c>
      <c r="BJ72" s="773"/>
      <c r="BK72" s="774" t="e">
        <f>IF(BR72&gt;0,CHOOSE(MATCH(RegimeExecucao,{"Unitário","Global"},0),IF($A72="S",BR72/BN72,""),(BR72/BN72)*100),"")</f>
        <v>#REF!</v>
      </c>
      <c r="BL72" s="775"/>
      <c r="BM72" s="776"/>
      <c r="BN72" s="777" t="e">
        <f>IF(BR72&gt;0,CHOOSE(MATCH(RegimeExecucao,{"Unitário","Global"},0),IF($A72="S",ROUND(P72,arredunit),""),ROUND(R72,arredtot)),"")</f>
        <v>#REF!</v>
      </c>
      <c r="BO72" s="778"/>
      <c r="BP72" s="778"/>
      <c r="BQ72" s="779"/>
      <c r="BR72" s="777" t="e">
        <f t="shared" si="1"/>
        <v>#REF!</v>
      </c>
      <c r="BS72" s="778"/>
      <c r="BT72" s="778"/>
      <c r="BU72" s="779"/>
      <c r="BV72" s="780"/>
      <c r="BW72" s="780"/>
      <c r="BX72" s="780"/>
      <c r="BY72" s="780"/>
      <c r="BZ72" s="780"/>
      <c r="CA72" s="781"/>
      <c r="CB72" s="245"/>
      <c r="CC72" s="245"/>
    </row>
    <row r="73" spans="1:81" s="222" customFormat="1" ht="44.4" customHeight="1">
      <c r="A73" s="222" t="str">
        <f t="shared" si="12"/>
        <v>S</v>
      </c>
      <c r="B73" s="222">
        <f t="shared" si="13"/>
        <v>0</v>
      </c>
      <c r="C73" s="222">
        <f t="shared" ca="1" si="2"/>
        <v>9</v>
      </c>
      <c r="D73" s="222">
        <f t="shared" ca="1" si="3"/>
        <v>0</v>
      </c>
      <c r="E73" s="222">
        <f t="shared" ca="1" si="4"/>
        <v>0</v>
      </c>
      <c r="F73" s="222">
        <f t="shared" ca="1" si="5"/>
        <v>0</v>
      </c>
      <c r="G73" s="222">
        <f t="shared" ca="1" si="6"/>
        <v>4</v>
      </c>
      <c r="H73" s="222">
        <f t="shared" ca="1" si="7"/>
        <v>0</v>
      </c>
      <c r="I73" s="222">
        <f t="shared" ca="1" si="8"/>
        <v>0</v>
      </c>
      <c r="J73" s="222">
        <f t="shared" si="9"/>
        <v>1</v>
      </c>
      <c r="K73" s="269" t="s">
        <v>4</v>
      </c>
      <c r="L73" s="336" t="s">
        <v>144</v>
      </c>
      <c r="M73" s="325" t="s">
        <v>145</v>
      </c>
      <c r="N73" s="326" t="s">
        <v>43</v>
      </c>
      <c r="O73" s="327">
        <v>99</v>
      </c>
      <c r="P73" s="328">
        <v>48.056969696969695</v>
      </c>
      <c r="Q73" s="329">
        <f t="shared" si="14"/>
        <v>0</v>
      </c>
      <c r="R73" s="330">
        <f t="shared" si="20"/>
        <v>4757.6399999999994</v>
      </c>
      <c r="S73" s="331">
        <f t="shared" si="21"/>
        <v>0</v>
      </c>
      <c r="T73" s="337">
        <f t="shared" si="22"/>
        <v>99</v>
      </c>
      <c r="U73" s="332">
        <f t="shared" si="23"/>
        <v>99</v>
      </c>
      <c r="V73" s="338">
        <f t="shared" si="24"/>
        <v>0</v>
      </c>
      <c r="W73" s="339">
        <f t="shared" si="25"/>
        <v>4757.6399999999994</v>
      </c>
      <c r="X73" s="340">
        <f t="shared" si="26"/>
        <v>4757.6399999999994</v>
      </c>
      <c r="Y73" s="333"/>
      <c r="Z73" s="334"/>
      <c r="AA73" s="328"/>
      <c r="AB73" s="328">
        <v>99</v>
      </c>
      <c r="AC73" s="328"/>
      <c r="AD73" s="328"/>
      <c r="AE73" s="328"/>
      <c r="AF73" s="328"/>
      <c r="AG73" s="328"/>
      <c r="AH73" s="328"/>
      <c r="AI73" s="328"/>
      <c r="AJ73" s="328"/>
      <c r="AK73" s="335"/>
      <c r="AL73" s="334"/>
      <c r="AM73" s="328"/>
      <c r="AN73" s="328"/>
      <c r="AO73" s="328"/>
      <c r="AP73" s="328"/>
      <c r="AQ73" s="271"/>
      <c r="AR73" s="271"/>
      <c r="AS73" s="271"/>
      <c r="AT73" s="271"/>
      <c r="AU73" s="271"/>
      <c r="AV73" s="271"/>
      <c r="AW73" s="272"/>
      <c r="AX73" s="245"/>
      <c r="AY73" s="273">
        <v>0</v>
      </c>
      <c r="AZ73" s="274">
        <f t="shared" si="15"/>
        <v>0</v>
      </c>
      <c r="BA73" s="275">
        <v>0</v>
      </c>
      <c r="BB73" s="276" t="e">
        <f t="shared" si="10"/>
        <v>#REF!</v>
      </c>
      <c r="BC73" s="277" t="e">
        <f t="shared" si="16"/>
        <v>#REF!</v>
      </c>
      <c r="BD73" s="278" t="e">
        <f t="shared" si="11"/>
        <v>#REF!</v>
      </c>
      <c r="BF73" s="770" t="e">
        <f t="shared" si="17"/>
        <v>#REF!</v>
      </c>
      <c r="BG73" s="771"/>
      <c r="BH73" s="279" t="e">
        <f t="shared" si="18"/>
        <v>#REF!</v>
      </c>
      <c r="BI73" s="772" t="e">
        <f t="shared" si="19"/>
        <v>#REF!</v>
      </c>
      <c r="BJ73" s="773"/>
      <c r="BK73" s="774" t="e">
        <f>IF(BR73&gt;0,CHOOSE(MATCH(RegimeExecucao,{"Unitário","Global"},0),IF($A73="S",BR73/BN73,""),(BR73/BN73)*100),"")</f>
        <v>#REF!</v>
      </c>
      <c r="BL73" s="775"/>
      <c r="BM73" s="776"/>
      <c r="BN73" s="777" t="e">
        <f>IF(BR73&gt;0,CHOOSE(MATCH(RegimeExecucao,{"Unitário","Global"},0),IF($A73="S",ROUND(P73,arredunit),""),ROUND(R73,arredtot)),"")</f>
        <v>#REF!</v>
      </c>
      <c r="BO73" s="778"/>
      <c r="BP73" s="778"/>
      <c r="BQ73" s="779"/>
      <c r="BR73" s="777" t="e">
        <f t="shared" si="1"/>
        <v>#REF!</v>
      </c>
      <c r="BS73" s="778"/>
      <c r="BT73" s="778"/>
      <c r="BU73" s="779"/>
      <c r="BV73" s="780"/>
      <c r="BW73" s="780"/>
      <c r="BX73" s="780"/>
      <c r="BY73" s="780"/>
      <c r="BZ73" s="780"/>
      <c r="CA73" s="781"/>
      <c r="CB73" s="245"/>
      <c r="CC73" s="245"/>
    </row>
    <row r="74" spans="1:81" s="222" customFormat="1" ht="13.8">
      <c r="A74" s="222">
        <f t="shared" si="12"/>
        <v>1</v>
      </c>
      <c r="B74" s="222">
        <f t="shared" ca="1" si="13"/>
        <v>6</v>
      </c>
      <c r="C74" s="222">
        <f t="shared" ca="1" si="2"/>
        <v>10</v>
      </c>
      <c r="D74" s="222">
        <f t="shared" ca="1" si="3"/>
        <v>0</v>
      </c>
      <c r="E74" s="222">
        <f t="shared" ca="1" si="4"/>
        <v>0</v>
      </c>
      <c r="F74" s="222">
        <f t="shared" ca="1" si="5"/>
        <v>0</v>
      </c>
      <c r="G74" s="222">
        <f t="shared" ca="1" si="6"/>
        <v>0</v>
      </c>
      <c r="H74" s="222">
        <f t="shared" ca="1" si="7"/>
        <v>22</v>
      </c>
      <c r="I74" s="222">
        <f t="shared" ca="1" si="8"/>
        <v>6</v>
      </c>
      <c r="J74" s="222">
        <f t="shared" si="9"/>
        <v>0</v>
      </c>
      <c r="K74" s="269" t="str">
        <f>CHOOSE(1+LOG(1+2*($J74=3)+4*($J74=2)+8*($J74=1)+16*(AND($L74&lt;&gt;"",$L74&lt;&gt;0,$J74=0))+32*OR($N74&lt;&gt;"",RegimeExecucao="Global",AND($L74="",$M74="",$N74="")),2),"","Nível 4","Nível 3","Nível 2","Meta","Serviço")</f>
        <v>Meta</v>
      </c>
      <c r="L74" s="324">
        <v>10</v>
      </c>
      <c r="M74" s="325" t="s">
        <v>146</v>
      </c>
      <c r="N74" s="326"/>
      <c r="O74" s="327"/>
      <c r="P74" s="328"/>
      <c r="Q74" s="329">
        <f t="shared" si="14"/>
        <v>11563.460000000001</v>
      </c>
      <c r="R74" s="330">
        <f>SUM(R75:R79)</f>
        <v>11563.460000000001</v>
      </c>
      <c r="S74" s="331">
        <f t="shared" si="21"/>
        <v>0</v>
      </c>
      <c r="T74" s="337">
        <f t="shared" si="22"/>
        <v>0</v>
      </c>
      <c r="U74" s="332">
        <f t="shared" si="23"/>
        <v>0</v>
      </c>
      <c r="V74" s="338">
        <f t="shared" si="24"/>
        <v>11563.460000000001</v>
      </c>
      <c r="W74" s="339">
        <f>SUM(W75:W79)</f>
        <v>0</v>
      </c>
      <c r="X74" s="340">
        <f t="shared" si="26"/>
        <v>11563.460000000001</v>
      </c>
      <c r="Y74" s="333"/>
      <c r="Z74" s="334"/>
      <c r="AA74" s="328"/>
      <c r="AB74" s="328"/>
      <c r="AC74" s="328"/>
      <c r="AD74" s="328"/>
      <c r="AE74" s="328"/>
      <c r="AF74" s="328"/>
      <c r="AG74" s="328"/>
      <c r="AH74" s="328"/>
      <c r="AI74" s="328"/>
      <c r="AJ74" s="328"/>
      <c r="AK74" s="335"/>
      <c r="AL74" s="334"/>
      <c r="AM74" s="328"/>
      <c r="AN74" s="328"/>
      <c r="AO74" s="328"/>
      <c r="AP74" s="328"/>
      <c r="AQ74" s="271"/>
      <c r="AR74" s="271"/>
      <c r="AS74" s="271"/>
      <c r="AT74" s="271"/>
      <c r="AU74" s="271"/>
      <c r="AV74" s="271"/>
      <c r="AW74" s="272"/>
      <c r="AX74" s="245"/>
      <c r="AY74" s="273">
        <v>0</v>
      </c>
      <c r="AZ74" s="274">
        <f t="shared" si="15"/>
        <v>0</v>
      </c>
      <c r="BA74" s="275">
        <v>0</v>
      </c>
      <c r="BB74" s="276" t="e">
        <f t="shared" ca="1" si="10"/>
        <v>#REF!</v>
      </c>
      <c r="BC74" s="277" t="e">
        <f t="shared" ca="1" si="16"/>
        <v>#REF!</v>
      </c>
      <c r="BD74" s="278" t="e">
        <f t="shared" ca="1" si="11"/>
        <v>#REF!</v>
      </c>
      <c r="BF74" s="770" t="e">
        <f t="shared" ca="1" si="17"/>
        <v>#REF!</v>
      </c>
      <c r="BG74" s="771"/>
      <c r="BH74" s="279" t="e">
        <f t="shared" ca="1" si="18"/>
        <v>#REF!</v>
      </c>
      <c r="BI74" s="772" t="e">
        <f t="shared" ca="1" si="19"/>
        <v>#REF!</v>
      </c>
      <c r="BJ74" s="773"/>
      <c r="BK74" s="774" t="e">
        <f ca="1">IF(BR74&gt;0,CHOOSE(MATCH(RegimeExecucao,{"Unitário","Global"},0),IF($A74="S",BR74/BN74,""),(BR74/BN74)*100),"")</f>
        <v>#REF!</v>
      </c>
      <c r="BL74" s="775"/>
      <c r="BM74" s="776"/>
      <c r="BN74" s="777" t="e">
        <f ca="1">IF(BR74&gt;0,CHOOSE(MATCH(RegimeExecucao,{"Unitário","Global"},0),IF($A74="S",ROUND(P74,arredunit),""),ROUND(R74,arredtot)),"")</f>
        <v>#REF!</v>
      </c>
      <c r="BO74" s="778"/>
      <c r="BP74" s="778"/>
      <c r="BQ74" s="779"/>
      <c r="BR74" s="777" t="e">
        <f t="shared" ca="1" si="1"/>
        <v>#REF!</v>
      </c>
      <c r="BS74" s="778"/>
      <c r="BT74" s="778"/>
      <c r="BU74" s="779"/>
      <c r="BV74" s="780"/>
      <c r="BW74" s="780"/>
      <c r="BX74" s="780"/>
      <c r="BY74" s="780"/>
      <c r="BZ74" s="780"/>
      <c r="CA74" s="781"/>
      <c r="CB74" s="245"/>
      <c r="CC74" s="245"/>
    </row>
    <row r="75" spans="1:81" s="222" customFormat="1" ht="13.8">
      <c r="A75" s="222" t="str">
        <f t="shared" si="12"/>
        <v>S</v>
      </c>
      <c r="B75" s="222">
        <f t="shared" si="13"/>
        <v>0</v>
      </c>
      <c r="C75" s="222">
        <f t="shared" ca="1" si="2"/>
        <v>10</v>
      </c>
      <c r="D75" s="222">
        <f t="shared" ca="1" si="3"/>
        <v>0</v>
      </c>
      <c r="E75" s="222">
        <f t="shared" ca="1" si="4"/>
        <v>0</v>
      </c>
      <c r="F75" s="222">
        <f t="shared" ca="1" si="5"/>
        <v>0</v>
      </c>
      <c r="G75" s="222">
        <f t="shared" ca="1" si="6"/>
        <v>1</v>
      </c>
      <c r="H75" s="222">
        <f t="shared" ca="1" si="7"/>
        <v>0</v>
      </c>
      <c r="I75" s="222">
        <f t="shared" ca="1" si="8"/>
        <v>0</v>
      </c>
      <c r="J75" s="222">
        <f t="shared" si="9"/>
        <v>1</v>
      </c>
      <c r="K75" s="269" t="s">
        <v>4</v>
      </c>
      <c r="L75" s="336" t="s">
        <v>147</v>
      </c>
      <c r="M75" s="325" t="s">
        <v>148</v>
      </c>
      <c r="N75" s="326" t="s">
        <v>43</v>
      </c>
      <c r="O75" s="327">
        <v>9.999675261414561</v>
      </c>
      <c r="P75" s="328">
        <v>153.97</v>
      </c>
      <c r="Q75" s="329">
        <f t="shared" si="14"/>
        <v>0</v>
      </c>
      <c r="R75" s="330">
        <f t="shared" si="20"/>
        <v>1539.6499999999999</v>
      </c>
      <c r="S75" s="331">
        <f t="shared" si="21"/>
        <v>0</v>
      </c>
      <c r="T75" s="337">
        <f t="shared" si="22"/>
        <v>0</v>
      </c>
      <c r="U75" s="332">
        <f t="shared" si="23"/>
        <v>0</v>
      </c>
      <c r="V75" s="338">
        <f t="shared" si="24"/>
        <v>0</v>
      </c>
      <c r="W75" s="339">
        <f t="shared" si="25"/>
        <v>0</v>
      </c>
      <c r="X75" s="340">
        <f t="shared" si="26"/>
        <v>0</v>
      </c>
      <c r="Y75" s="333"/>
      <c r="Z75" s="334"/>
      <c r="AA75" s="328"/>
      <c r="AB75" s="328"/>
      <c r="AC75" s="328"/>
      <c r="AD75" s="328"/>
      <c r="AE75" s="328"/>
      <c r="AF75" s="328"/>
      <c r="AG75" s="328"/>
      <c r="AH75" s="328"/>
      <c r="AI75" s="328"/>
      <c r="AJ75" s="328"/>
      <c r="AK75" s="335"/>
      <c r="AL75" s="334"/>
      <c r="AM75" s="328"/>
      <c r="AN75" s="328"/>
      <c r="AO75" s="328"/>
      <c r="AP75" s="328"/>
      <c r="AQ75" s="271"/>
      <c r="AR75" s="271"/>
      <c r="AS75" s="271"/>
      <c r="AT75" s="271"/>
      <c r="AU75" s="271"/>
      <c r="AV75" s="271"/>
      <c r="AW75" s="272"/>
      <c r="AX75" s="245"/>
      <c r="AY75" s="273">
        <v>0</v>
      </c>
      <c r="AZ75" s="274">
        <f t="shared" si="15"/>
        <v>0</v>
      </c>
      <c r="BA75" s="275">
        <v>0</v>
      </c>
      <c r="BB75" s="276" t="e">
        <f t="shared" si="10"/>
        <v>#REF!</v>
      </c>
      <c r="BC75" s="277" t="e">
        <f t="shared" si="16"/>
        <v>#REF!</v>
      </c>
      <c r="BD75" s="278" t="e">
        <f t="shared" si="11"/>
        <v>#REF!</v>
      </c>
      <c r="BF75" s="770" t="e">
        <f t="shared" si="17"/>
        <v>#REF!</v>
      </c>
      <c r="BG75" s="771"/>
      <c r="BH75" s="279" t="e">
        <f t="shared" si="18"/>
        <v>#REF!</v>
      </c>
      <c r="BI75" s="772" t="e">
        <f t="shared" si="19"/>
        <v>#REF!</v>
      </c>
      <c r="BJ75" s="773"/>
      <c r="BK75" s="774" t="e">
        <f>IF(BR75&gt;0,CHOOSE(MATCH(RegimeExecucao,{"Unitário","Global"},0),IF($A75="S",BR75/BN75,""),(BR75/BN75)*100),"")</f>
        <v>#REF!</v>
      </c>
      <c r="BL75" s="775"/>
      <c r="BM75" s="776"/>
      <c r="BN75" s="777" t="e">
        <f>IF(BR75&gt;0,CHOOSE(MATCH(RegimeExecucao,{"Unitário","Global"},0),IF($A75="S",ROUND(P75,arredunit),""),ROUND(R75,arredtot)),"")</f>
        <v>#REF!</v>
      </c>
      <c r="BO75" s="778"/>
      <c r="BP75" s="778"/>
      <c r="BQ75" s="779"/>
      <c r="BR75" s="777" t="e">
        <f t="shared" si="1"/>
        <v>#REF!</v>
      </c>
      <c r="BS75" s="778"/>
      <c r="BT75" s="778"/>
      <c r="BU75" s="779"/>
      <c r="BV75" s="780"/>
      <c r="BW75" s="780"/>
      <c r="BX75" s="780"/>
      <c r="BY75" s="780"/>
      <c r="BZ75" s="780"/>
      <c r="CA75" s="781"/>
      <c r="CB75" s="245"/>
      <c r="CC75" s="245"/>
    </row>
    <row r="76" spans="1:81" s="222" customFormat="1" ht="13.8">
      <c r="A76" s="222" t="str">
        <f t="shared" si="12"/>
        <v>S</v>
      </c>
      <c r="B76" s="222">
        <f t="shared" si="13"/>
        <v>0</v>
      </c>
      <c r="C76" s="222">
        <f t="shared" ca="1" si="2"/>
        <v>10</v>
      </c>
      <c r="D76" s="222">
        <f t="shared" ca="1" si="3"/>
        <v>0</v>
      </c>
      <c r="E76" s="222">
        <f t="shared" ca="1" si="4"/>
        <v>0</v>
      </c>
      <c r="F76" s="222">
        <f t="shared" ca="1" si="5"/>
        <v>0</v>
      </c>
      <c r="G76" s="222">
        <f t="shared" ca="1" si="6"/>
        <v>2</v>
      </c>
      <c r="H76" s="222">
        <f t="shared" ca="1" si="7"/>
        <v>0</v>
      </c>
      <c r="I76" s="222">
        <f t="shared" ca="1" si="8"/>
        <v>0</v>
      </c>
      <c r="J76" s="222">
        <f t="shared" si="9"/>
        <v>1</v>
      </c>
      <c r="K76" s="269" t="s">
        <v>4</v>
      </c>
      <c r="L76" s="336" t="s">
        <v>149</v>
      </c>
      <c r="M76" s="325" t="s">
        <v>150</v>
      </c>
      <c r="N76" s="326" t="s">
        <v>151</v>
      </c>
      <c r="O76" s="327">
        <v>1</v>
      </c>
      <c r="P76" s="328">
        <v>3449.03</v>
      </c>
      <c r="Q76" s="329">
        <f t="shared" si="14"/>
        <v>0</v>
      </c>
      <c r="R76" s="330">
        <f t="shared" si="20"/>
        <v>3449.03</v>
      </c>
      <c r="S76" s="331">
        <f t="shared" si="21"/>
        <v>0</v>
      </c>
      <c r="T76" s="337">
        <f t="shared" si="22"/>
        <v>0</v>
      </c>
      <c r="U76" s="332">
        <f t="shared" si="23"/>
        <v>0</v>
      </c>
      <c r="V76" s="338">
        <f t="shared" si="24"/>
        <v>0</v>
      </c>
      <c r="W76" s="339">
        <f t="shared" si="25"/>
        <v>0</v>
      </c>
      <c r="X76" s="340">
        <f t="shared" si="26"/>
        <v>0</v>
      </c>
      <c r="Y76" s="333"/>
      <c r="Z76" s="334"/>
      <c r="AA76" s="328"/>
      <c r="AB76" s="328"/>
      <c r="AC76" s="328"/>
      <c r="AD76" s="328"/>
      <c r="AE76" s="328"/>
      <c r="AF76" s="328"/>
      <c r="AG76" s="328"/>
      <c r="AH76" s="328"/>
      <c r="AI76" s="328"/>
      <c r="AJ76" s="328"/>
      <c r="AK76" s="335"/>
      <c r="AL76" s="334"/>
      <c r="AM76" s="328"/>
      <c r="AN76" s="328"/>
      <c r="AO76" s="328"/>
      <c r="AP76" s="328"/>
      <c r="AQ76" s="271"/>
      <c r="AR76" s="271"/>
      <c r="AS76" s="271"/>
      <c r="AT76" s="271"/>
      <c r="AU76" s="271"/>
      <c r="AV76" s="271"/>
      <c r="AW76" s="272"/>
      <c r="AX76" s="245"/>
      <c r="AY76" s="273">
        <v>0</v>
      </c>
      <c r="AZ76" s="274">
        <f t="shared" si="15"/>
        <v>0</v>
      </c>
      <c r="BA76" s="275">
        <v>0</v>
      </c>
      <c r="BB76" s="276" t="e">
        <f t="shared" si="10"/>
        <v>#REF!</v>
      </c>
      <c r="BC76" s="277" t="e">
        <f t="shared" si="16"/>
        <v>#REF!</v>
      </c>
      <c r="BD76" s="278" t="e">
        <f t="shared" si="11"/>
        <v>#REF!</v>
      </c>
      <c r="BF76" s="770" t="e">
        <f t="shared" si="17"/>
        <v>#REF!</v>
      </c>
      <c r="BG76" s="771"/>
      <c r="BH76" s="279" t="e">
        <f t="shared" si="18"/>
        <v>#REF!</v>
      </c>
      <c r="BI76" s="772" t="e">
        <f t="shared" si="19"/>
        <v>#REF!</v>
      </c>
      <c r="BJ76" s="773"/>
      <c r="BK76" s="774" t="e">
        <f>IF(BR76&gt;0,CHOOSE(MATCH(RegimeExecucao,{"Unitário","Global"},0),IF($A76="S",BR76/BN76,""),(BR76/BN76)*100),"")</f>
        <v>#REF!</v>
      </c>
      <c r="BL76" s="775"/>
      <c r="BM76" s="776"/>
      <c r="BN76" s="777" t="e">
        <f>IF(BR76&gt;0,CHOOSE(MATCH(RegimeExecucao,{"Unitário","Global"},0),IF($A76="S",ROUND(P76,arredunit),""),ROUND(R76,arredtot)),"")</f>
        <v>#REF!</v>
      </c>
      <c r="BO76" s="778"/>
      <c r="BP76" s="778"/>
      <c r="BQ76" s="779"/>
      <c r="BR76" s="777" t="e">
        <f t="shared" si="1"/>
        <v>#REF!</v>
      </c>
      <c r="BS76" s="778"/>
      <c r="BT76" s="778"/>
      <c r="BU76" s="779"/>
      <c r="BV76" s="780"/>
      <c r="BW76" s="780"/>
      <c r="BX76" s="780"/>
      <c r="BY76" s="780"/>
      <c r="BZ76" s="780"/>
      <c r="CA76" s="781"/>
      <c r="CB76" s="245"/>
      <c r="CC76" s="245"/>
    </row>
    <row r="77" spans="1:81" s="222" customFormat="1" ht="13.8">
      <c r="A77" s="222" t="str">
        <f t="shared" si="12"/>
        <v>S</v>
      </c>
      <c r="B77" s="222">
        <f t="shared" si="13"/>
        <v>0</v>
      </c>
      <c r="C77" s="222">
        <f t="shared" ca="1" si="2"/>
        <v>10</v>
      </c>
      <c r="D77" s="222">
        <f t="shared" ca="1" si="3"/>
        <v>0</v>
      </c>
      <c r="E77" s="222">
        <f t="shared" ca="1" si="4"/>
        <v>0</v>
      </c>
      <c r="F77" s="222">
        <f t="shared" ca="1" si="5"/>
        <v>0</v>
      </c>
      <c r="G77" s="222">
        <f t="shared" ca="1" si="6"/>
        <v>3</v>
      </c>
      <c r="H77" s="222">
        <f t="shared" ca="1" si="7"/>
        <v>0</v>
      </c>
      <c r="I77" s="222">
        <f t="shared" ca="1" si="8"/>
        <v>0</v>
      </c>
      <c r="J77" s="222">
        <f t="shared" si="9"/>
        <v>1</v>
      </c>
      <c r="K77" s="269" t="s">
        <v>4</v>
      </c>
      <c r="L77" s="336" t="s">
        <v>152</v>
      </c>
      <c r="M77" s="325" t="s">
        <v>153</v>
      </c>
      <c r="N77" s="326" t="s">
        <v>151</v>
      </c>
      <c r="O77" s="327">
        <v>1.9999937134594832</v>
      </c>
      <c r="P77" s="328">
        <v>1590.7</v>
      </c>
      <c r="Q77" s="329">
        <f t="shared" si="14"/>
        <v>0</v>
      </c>
      <c r="R77" s="330">
        <f t="shared" si="20"/>
        <v>3181.39</v>
      </c>
      <c r="S77" s="331">
        <f t="shared" si="21"/>
        <v>0</v>
      </c>
      <c r="T77" s="337">
        <f t="shared" si="22"/>
        <v>0</v>
      </c>
      <c r="U77" s="332">
        <f t="shared" si="23"/>
        <v>0</v>
      </c>
      <c r="V77" s="338">
        <f t="shared" si="24"/>
        <v>0</v>
      </c>
      <c r="W77" s="339">
        <f t="shared" si="25"/>
        <v>0</v>
      </c>
      <c r="X77" s="340">
        <f t="shared" si="26"/>
        <v>0</v>
      </c>
      <c r="Y77" s="333"/>
      <c r="Z77" s="334"/>
      <c r="AA77" s="328"/>
      <c r="AB77" s="328"/>
      <c r="AC77" s="328"/>
      <c r="AD77" s="328"/>
      <c r="AE77" s="328"/>
      <c r="AF77" s="328"/>
      <c r="AG77" s="328"/>
      <c r="AH77" s="328"/>
      <c r="AI77" s="328"/>
      <c r="AJ77" s="328"/>
      <c r="AK77" s="335"/>
      <c r="AL77" s="334"/>
      <c r="AM77" s="328"/>
      <c r="AN77" s="328"/>
      <c r="AO77" s="328"/>
      <c r="AP77" s="328"/>
      <c r="AQ77" s="271"/>
      <c r="AR77" s="271"/>
      <c r="AS77" s="271"/>
      <c r="AT77" s="271"/>
      <c r="AU77" s="271"/>
      <c r="AV77" s="271"/>
      <c r="AW77" s="272"/>
      <c r="AX77" s="245"/>
      <c r="AY77" s="273">
        <v>0</v>
      </c>
      <c r="AZ77" s="274">
        <f t="shared" si="15"/>
        <v>0</v>
      </c>
      <c r="BA77" s="275">
        <v>0</v>
      </c>
      <c r="BB77" s="276" t="e">
        <f t="shared" si="10"/>
        <v>#REF!</v>
      </c>
      <c r="BC77" s="277" t="e">
        <f t="shared" si="16"/>
        <v>#REF!</v>
      </c>
      <c r="BD77" s="278" t="e">
        <f t="shared" si="11"/>
        <v>#REF!</v>
      </c>
      <c r="BF77" s="770" t="e">
        <f t="shared" si="17"/>
        <v>#REF!</v>
      </c>
      <c r="BG77" s="771"/>
      <c r="BH77" s="279" t="e">
        <f t="shared" si="18"/>
        <v>#REF!</v>
      </c>
      <c r="BI77" s="772" t="e">
        <f t="shared" si="19"/>
        <v>#REF!</v>
      </c>
      <c r="BJ77" s="773"/>
      <c r="BK77" s="774" t="e">
        <f>IF(BR77&gt;0,CHOOSE(MATCH(RegimeExecucao,{"Unitário","Global"},0),IF($A77="S",BR77/BN77,""),(BR77/BN77)*100),"")</f>
        <v>#REF!</v>
      </c>
      <c r="BL77" s="775"/>
      <c r="BM77" s="776"/>
      <c r="BN77" s="777" t="e">
        <f>IF(BR77&gt;0,CHOOSE(MATCH(RegimeExecucao,{"Unitário","Global"},0),IF($A77="S",ROUND(P77,arredunit),""),ROUND(R77,arredtot)),"")</f>
        <v>#REF!</v>
      </c>
      <c r="BO77" s="778"/>
      <c r="BP77" s="778"/>
      <c r="BQ77" s="779"/>
      <c r="BR77" s="777" t="e">
        <f t="shared" si="1"/>
        <v>#REF!</v>
      </c>
      <c r="BS77" s="778"/>
      <c r="BT77" s="778"/>
      <c r="BU77" s="779"/>
      <c r="BV77" s="780"/>
      <c r="BW77" s="780"/>
      <c r="BX77" s="780"/>
      <c r="BY77" s="780"/>
      <c r="BZ77" s="780"/>
      <c r="CA77" s="781"/>
      <c r="CB77" s="245"/>
      <c r="CC77" s="245"/>
    </row>
    <row r="78" spans="1:81" s="222" customFormat="1" ht="13.8">
      <c r="A78" s="222" t="str">
        <f t="shared" si="12"/>
        <v>S</v>
      </c>
      <c r="B78" s="222">
        <f t="shared" si="13"/>
        <v>0</v>
      </c>
      <c r="C78" s="222">
        <f t="shared" ca="1" si="2"/>
        <v>10</v>
      </c>
      <c r="D78" s="222">
        <f t="shared" ca="1" si="3"/>
        <v>0</v>
      </c>
      <c r="E78" s="222">
        <f t="shared" ca="1" si="4"/>
        <v>0</v>
      </c>
      <c r="F78" s="222">
        <f t="shared" ca="1" si="5"/>
        <v>0</v>
      </c>
      <c r="G78" s="222">
        <f t="shared" ca="1" si="6"/>
        <v>4</v>
      </c>
      <c r="H78" s="222">
        <f t="shared" ca="1" si="7"/>
        <v>0</v>
      </c>
      <c r="I78" s="222">
        <f t="shared" ca="1" si="8"/>
        <v>0</v>
      </c>
      <c r="J78" s="222">
        <f t="shared" si="9"/>
        <v>1</v>
      </c>
      <c r="K78" s="269" t="s">
        <v>4</v>
      </c>
      <c r="L78" s="336" t="s">
        <v>154</v>
      </c>
      <c r="M78" s="325" t="s">
        <v>155</v>
      </c>
      <c r="N78" s="326" t="s">
        <v>151</v>
      </c>
      <c r="O78" s="327">
        <v>2</v>
      </c>
      <c r="P78" s="328">
        <v>997.64</v>
      </c>
      <c r="Q78" s="329">
        <f t="shared" si="14"/>
        <v>0</v>
      </c>
      <c r="R78" s="330">
        <f t="shared" si="20"/>
        <v>1995.28</v>
      </c>
      <c r="S78" s="331">
        <f t="shared" si="21"/>
        <v>0</v>
      </c>
      <c r="T78" s="337">
        <f t="shared" si="22"/>
        <v>0</v>
      </c>
      <c r="U78" s="332">
        <f t="shared" si="23"/>
        <v>0</v>
      </c>
      <c r="V78" s="338">
        <f t="shared" si="24"/>
        <v>0</v>
      </c>
      <c r="W78" s="339">
        <f t="shared" si="25"/>
        <v>0</v>
      </c>
      <c r="X78" s="340">
        <f t="shared" si="26"/>
        <v>0</v>
      </c>
      <c r="Y78" s="333"/>
      <c r="Z78" s="334"/>
      <c r="AA78" s="328"/>
      <c r="AB78" s="328"/>
      <c r="AC78" s="328"/>
      <c r="AD78" s="328"/>
      <c r="AE78" s="328"/>
      <c r="AF78" s="328"/>
      <c r="AG78" s="328"/>
      <c r="AH78" s="328"/>
      <c r="AI78" s="328"/>
      <c r="AJ78" s="328"/>
      <c r="AK78" s="335"/>
      <c r="AL78" s="334"/>
      <c r="AM78" s="328"/>
      <c r="AN78" s="328"/>
      <c r="AO78" s="328"/>
      <c r="AP78" s="328"/>
      <c r="AQ78" s="271"/>
      <c r="AR78" s="271"/>
      <c r="AS78" s="271"/>
      <c r="AT78" s="271"/>
      <c r="AU78" s="271"/>
      <c r="AV78" s="271"/>
      <c r="AW78" s="272"/>
      <c r="AX78" s="245"/>
      <c r="AY78" s="273">
        <v>0</v>
      </c>
      <c r="AZ78" s="274">
        <f t="shared" si="15"/>
        <v>0</v>
      </c>
      <c r="BA78" s="275">
        <v>0</v>
      </c>
      <c r="BB78" s="276" t="e">
        <f t="shared" si="10"/>
        <v>#REF!</v>
      </c>
      <c r="BC78" s="277" t="e">
        <f t="shared" si="16"/>
        <v>#REF!</v>
      </c>
      <c r="BD78" s="278" t="e">
        <f t="shared" si="11"/>
        <v>#REF!</v>
      </c>
      <c r="BF78" s="770" t="e">
        <f t="shared" si="17"/>
        <v>#REF!</v>
      </c>
      <c r="BG78" s="771"/>
      <c r="BH78" s="279" t="e">
        <f t="shared" si="18"/>
        <v>#REF!</v>
      </c>
      <c r="BI78" s="772" t="e">
        <f t="shared" si="19"/>
        <v>#REF!</v>
      </c>
      <c r="BJ78" s="773"/>
      <c r="BK78" s="774" t="e">
        <f>IF(BR78&gt;0,CHOOSE(MATCH(RegimeExecucao,{"Unitário","Global"},0),IF($A78="S",BR78/BN78,""),(BR78/BN78)*100),"")</f>
        <v>#REF!</v>
      </c>
      <c r="BL78" s="775"/>
      <c r="BM78" s="776"/>
      <c r="BN78" s="777" t="e">
        <f>IF(BR78&gt;0,CHOOSE(MATCH(RegimeExecucao,{"Unitário","Global"},0),IF($A78="S",ROUND(P78,arredunit),""),ROUND(R78,arredtot)),"")</f>
        <v>#REF!</v>
      </c>
      <c r="BO78" s="778"/>
      <c r="BP78" s="778"/>
      <c r="BQ78" s="779"/>
      <c r="BR78" s="777" t="e">
        <f t="shared" si="1"/>
        <v>#REF!</v>
      </c>
      <c r="BS78" s="778"/>
      <c r="BT78" s="778"/>
      <c r="BU78" s="779"/>
      <c r="BV78" s="780"/>
      <c r="BW78" s="780"/>
      <c r="BX78" s="780"/>
      <c r="BY78" s="780"/>
      <c r="BZ78" s="780"/>
      <c r="CA78" s="781"/>
      <c r="CB78" s="245"/>
      <c r="CC78" s="245"/>
    </row>
    <row r="79" spans="1:81" s="222" customFormat="1" ht="30.6" customHeight="1">
      <c r="A79" s="222" t="str">
        <f t="shared" si="12"/>
        <v>S</v>
      </c>
      <c r="B79" s="222">
        <f t="shared" si="13"/>
        <v>0</v>
      </c>
      <c r="C79" s="222">
        <f t="shared" ca="1" si="2"/>
        <v>10</v>
      </c>
      <c r="D79" s="222">
        <f t="shared" ca="1" si="3"/>
        <v>0</v>
      </c>
      <c r="E79" s="222">
        <f t="shared" ca="1" si="4"/>
        <v>0</v>
      </c>
      <c r="F79" s="222">
        <f t="shared" ca="1" si="5"/>
        <v>0</v>
      </c>
      <c r="G79" s="222">
        <f t="shared" ca="1" si="6"/>
        <v>5</v>
      </c>
      <c r="H79" s="222">
        <f t="shared" ca="1" si="7"/>
        <v>0</v>
      </c>
      <c r="I79" s="222">
        <f t="shared" ca="1" si="8"/>
        <v>0</v>
      </c>
      <c r="J79" s="222">
        <f t="shared" si="9"/>
        <v>1</v>
      </c>
      <c r="K79" s="269" t="s">
        <v>4</v>
      </c>
      <c r="L79" s="336" t="s">
        <v>156</v>
      </c>
      <c r="M79" s="325" t="s">
        <v>157</v>
      </c>
      <c r="N79" s="326" t="s">
        <v>151</v>
      </c>
      <c r="O79" s="327">
        <v>1</v>
      </c>
      <c r="P79" s="328">
        <v>1398.11</v>
      </c>
      <c r="Q79" s="329">
        <f t="shared" si="14"/>
        <v>0</v>
      </c>
      <c r="R79" s="330">
        <f t="shared" si="20"/>
        <v>1398.11</v>
      </c>
      <c r="S79" s="331">
        <f t="shared" si="21"/>
        <v>0</v>
      </c>
      <c r="T79" s="337">
        <f t="shared" si="22"/>
        <v>0</v>
      </c>
      <c r="U79" s="332">
        <f t="shared" si="23"/>
        <v>0</v>
      </c>
      <c r="V79" s="338">
        <f t="shared" si="24"/>
        <v>0</v>
      </c>
      <c r="W79" s="339">
        <f t="shared" si="25"/>
        <v>0</v>
      </c>
      <c r="X79" s="340">
        <f t="shared" si="26"/>
        <v>0</v>
      </c>
      <c r="Y79" s="333"/>
      <c r="Z79" s="334"/>
      <c r="AA79" s="328"/>
      <c r="AB79" s="328"/>
      <c r="AC79" s="328"/>
      <c r="AD79" s="328"/>
      <c r="AE79" s="328"/>
      <c r="AF79" s="328"/>
      <c r="AG79" s="328"/>
      <c r="AH79" s="328"/>
      <c r="AI79" s="328"/>
      <c r="AJ79" s="328"/>
      <c r="AK79" s="335"/>
      <c r="AL79" s="334"/>
      <c r="AM79" s="328"/>
      <c r="AN79" s="328"/>
      <c r="AO79" s="328"/>
      <c r="AP79" s="328"/>
      <c r="AQ79" s="271"/>
      <c r="AR79" s="271"/>
      <c r="AS79" s="271"/>
      <c r="AT79" s="271"/>
      <c r="AU79" s="271"/>
      <c r="AV79" s="271"/>
      <c r="AW79" s="272"/>
      <c r="AX79" s="245"/>
      <c r="AY79" s="273">
        <v>0</v>
      </c>
      <c r="AZ79" s="274">
        <f t="shared" si="15"/>
        <v>0</v>
      </c>
      <c r="BA79" s="275">
        <v>0</v>
      </c>
      <c r="BB79" s="276" t="e">
        <f t="shared" si="10"/>
        <v>#REF!</v>
      </c>
      <c r="BC79" s="277" t="e">
        <f t="shared" si="16"/>
        <v>#REF!</v>
      </c>
      <c r="BD79" s="278" t="e">
        <f t="shared" si="11"/>
        <v>#REF!</v>
      </c>
      <c r="BF79" s="770" t="e">
        <f t="shared" si="17"/>
        <v>#REF!</v>
      </c>
      <c r="BG79" s="771"/>
      <c r="BH79" s="279" t="e">
        <f t="shared" si="18"/>
        <v>#REF!</v>
      </c>
      <c r="BI79" s="772" t="e">
        <f t="shared" si="19"/>
        <v>#REF!</v>
      </c>
      <c r="BJ79" s="773"/>
      <c r="BK79" s="774" t="e">
        <f>IF(BR79&gt;0,CHOOSE(MATCH(RegimeExecucao,{"Unitário","Global"},0),IF($A79="S",BR79/BN79,""),(BR79/BN79)*100),"")</f>
        <v>#REF!</v>
      </c>
      <c r="BL79" s="775"/>
      <c r="BM79" s="776"/>
      <c r="BN79" s="777" t="e">
        <f>IF(BR79&gt;0,CHOOSE(MATCH(RegimeExecucao,{"Unitário","Global"},0),IF($A79="S",ROUND(P79,arredunit),""),ROUND(R79,arredtot)),"")</f>
        <v>#REF!</v>
      </c>
      <c r="BO79" s="778"/>
      <c r="BP79" s="778"/>
      <c r="BQ79" s="779"/>
      <c r="BR79" s="777" t="e">
        <f t="shared" si="1"/>
        <v>#REF!</v>
      </c>
      <c r="BS79" s="778"/>
      <c r="BT79" s="778"/>
      <c r="BU79" s="779"/>
      <c r="BV79" s="780"/>
      <c r="BW79" s="780"/>
      <c r="BX79" s="780"/>
      <c r="BY79" s="780"/>
      <c r="BZ79" s="780"/>
      <c r="CA79" s="781"/>
      <c r="CB79" s="245"/>
      <c r="CC79" s="245"/>
    </row>
    <row r="80" spans="1:81" s="222" customFormat="1" ht="13.8">
      <c r="A80" s="222">
        <f t="shared" si="12"/>
        <v>1</v>
      </c>
      <c r="B80" s="222">
        <f t="shared" ca="1" si="13"/>
        <v>10</v>
      </c>
      <c r="C80" s="222">
        <f t="shared" ca="1" si="2"/>
        <v>11</v>
      </c>
      <c r="D80" s="222">
        <f t="shared" ca="1" si="3"/>
        <v>0</v>
      </c>
      <c r="E80" s="222">
        <f t="shared" ca="1" si="4"/>
        <v>0</v>
      </c>
      <c r="F80" s="222">
        <f t="shared" ca="1" si="5"/>
        <v>0</v>
      </c>
      <c r="G80" s="222">
        <f t="shared" ca="1" si="6"/>
        <v>0</v>
      </c>
      <c r="H80" s="222">
        <f t="shared" ca="1" si="7"/>
        <v>16</v>
      </c>
      <c r="I80" s="222">
        <f t="shared" ca="1" si="8"/>
        <v>10</v>
      </c>
      <c r="J80" s="222">
        <f t="shared" si="9"/>
        <v>0</v>
      </c>
      <c r="K80" s="269" t="str">
        <f>CHOOSE(1+LOG(1+2*($J80=3)+4*($J80=2)+8*($J80=1)+16*(AND($L80&lt;&gt;"",$L80&lt;&gt;0,$J80=0))+32*OR($N80&lt;&gt;"",RegimeExecucao="Global",AND($L80="",$M80="",$N80="")),2),"","Nível 4","Nível 3","Nível 2","Meta","Serviço")</f>
        <v>Meta</v>
      </c>
      <c r="L80" s="324">
        <v>11</v>
      </c>
      <c r="M80" s="325" t="s">
        <v>158</v>
      </c>
      <c r="N80" s="326"/>
      <c r="O80" s="327"/>
      <c r="P80" s="328"/>
      <c r="Q80" s="329">
        <f t="shared" si="14"/>
        <v>75679.460000000006</v>
      </c>
      <c r="R80" s="330">
        <f>SUM(R81:R89)</f>
        <v>75679.460000000006</v>
      </c>
      <c r="S80" s="331">
        <f t="shared" si="21"/>
        <v>0</v>
      </c>
      <c r="T80" s="337">
        <f t="shared" si="22"/>
        <v>0</v>
      </c>
      <c r="U80" s="332">
        <f t="shared" si="23"/>
        <v>0</v>
      </c>
      <c r="V80" s="338">
        <f t="shared" si="24"/>
        <v>75679.460000000006</v>
      </c>
      <c r="W80" s="339">
        <f>SUM(W81:W89)</f>
        <v>0</v>
      </c>
      <c r="X80" s="340">
        <f t="shared" si="26"/>
        <v>75679.460000000006</v>
      </c>
      <c r="Y80" s="333"/>
      <c r="Z80" s="334"/>
      <c r="AA80" s="328"/>
      <c r="AB80" s="328"/>
      <c r="AC80" s="328"/>
      <c r="AD80" s="328"/>
      <c r="AE80" s="328"/>
      <c r="AF80" s="328"/>
      <c r="AG80" s="328"/>
      <c r="AH80" s="328"/>
      <c r="AI80" s="328"/>
      <c r="AJ80" s="328"/>
      <c r="AK80" s="335"/>
      <c r="AL80" s="334"/>
      <c r="AM80" s="328"/>
      <c r="AN80" s="328"/>
      <c r="AO80" s="328"/>
      <c r="AP80" s="328"/>
      <c r="AQ80" s="271"/>
      <c r="AR80" s="271"/>
      <c r="AS80" s="271"/>
      <c r="AT80" s="271"/>
      <c r="AU80" s="271"/>
      <c r="AV80" s="271"/>
      <c r="AW80" s="272"/>
      <c r="AX80" s="245"/>
      <c r="AY80" s="273">
        <v>0</v>
      </c>
      <c r="AZ80" s="274">
        <f t="shared" si="15"/>
        <v>0</v>
      </c>
      <c r="BA80" s="275">
        <v>0</v>
      </c>
      <c r="BB80" s="276" t="e">
        <f t="shared" ca="1" si="10"/>
        <v>#REF!</v>
      </c>
      <c r="BC80" s="277" t="e">
        <f t="shared" ca="1" si="16"/>
        <v>#REF!</v>
      </c>
      <c r="BD80" s="278" t="e">
        <f t="shared" ca="1" si="11"/>
        <v>#REF!</v>
      </c>
      <c r="BF80" s="770" t="e">
        <f t="shared" ca="1" si="17"/>
        <v>#REF!</v>
      </c>
      <c r="BG80" s="771"/>
      <c r="BH80" s="279" t="e">
        <f t="shared" ca="1" si="18"/>
        <v>#REF!</v>
      </c>
      <c r="BI80" s="772" t="e">
        <f t="shared" ca="1" si="19"/>
        <v>#REF!</v>
      </c>
      <c r="BJ80" s="773"/>
      <c r="BK80" s="774" t="e">
        <f ca="1">IF(BR80&gt;0,CHOOSE(MATCH(RegimeExecucao,{"Unitário","Global"},0),IF($A80="S",BR80/BN80,""),(BR80/BN80)*100),"")</f>
        <v>#REF!</v>
      </c>
      <c r="BL80" s="775"/>
      <c r="BM80" s="776"/>
      <c r="BN80" s="777" t="e">
        <f ca="1">IF(BR80&gt;0,CHOOSE(MATCH(RegimeExecucao,{"Unitário","Global"},0),IF($A80="S",ROUND(P80,arredunit),""),ROUND(R80,arredtot)),"")</f>
        <v>#REF!</v>
      </c>
      <c r="BO80" s="778"/>
      <c r="BP80" s="778"/>
      <c r="BQ80" s="779"/>
      <c r="BR80" s="777" t="e">
        <f t="shared" ca="1" si="1"/>
        <v>#REF!</v>
      </c>
      <c r="BS80" s="778"/>
      <c r="BT80" s="778"/>
      <c r="BU80" s="779"/>
      <c r="BV80" s="780"/>
      <c r="BW80" s="780"/>
      <c r="BX80" s="780"/>
      <c r="BY80" s="780"/>
      <c r="BZ80" s="780"/>
      <c r="CA80" s="781"/>
      <c r="CB80" s="245"/>
      <c r="CC80" s="245"/>
    </row>
    <row r="81" spans="1:81" s="222" customFormat="1" ht="17.399999999999999" customHeight="1">
      <c r="A81" s="222" t="str">
        <f t="shared" si="12"/>
        <v>S</v>
      </c>
      <c r="B81" s="222">
        <f t="shared" si="13"/>
        <v>0</v>
      </c>
      <c r="C81" s="222">
        <f t="shared" ca="1" si="2"/>
        <v>11</v>
      </c>
      <c r="D81" s="222">
        <f t="shared" ca="1" si="3"/>
        <v>0</v>
      </c>
      <c r="E81" s="222">
        <f t="shared" ca="1" si="4"/>
        <v>0</v>
      </c>
      <c r="F81" s="222">
        <f t="shared" ca="1" si="5"/>
        <v>0</v>
      </c>
      <c r="G81" s="222">
        <f t="shared" ca="1" si="6"/>
        <v>1</v>
      </c>
      <c r="H81" s="222">
        <f t="shared" ca="1" si="7"/>
        <v>0</v>
      </c>
      <c r="I81" s="222">
        <f t="shared" ca="1" si="8"/>
        <v>0</v>
      </c>
      <c r="J81" s="222">
        <f t="shared" si="9"/>
        <v>1</v>
      </c>
      <c r="K81" s="269" t="s">
        <v>4</v>
      </c>
      <c r="L81" s="336" t="s">
        <v>159</v>
      </c>
      <c r="M81" s="325" t="s">
        <v>160</v>
      </c>
      <c r="N81" s="326" t="s">
        <v>43</v>
      </c>
      <c r="O81" s="327">
        <v>386.9</v>
      </c>
      <c r="P81" s="328">
        <v>168.20987335228742</v>
      </c>
      <c r="Q81" s="329">
        <f t="shared" si="14"/>
        <v>0</v>
      </c>
      <c r="R81" s="330">
        <f t="shared" si="20"/>
        <v>65080.399999999994</v>
      </c>
      <c r="S81" s="331">
        <f t="shared" si="21"/>
        <v>0</v>
      </c>
      <c r="T81" s="337">
        <f t="shared" si="22"/>
        <v>0</v>
      </c>
      <c r="U81" s="332">
        <f t="shared" si="23"/>
        <v>0</v>
      </c>
      <c r="V81" s="338">
        <f t="shared" si="24"/>
        <v>0</v>
      </c>
      <c r="W81" s="339">
        <f t="shared" si="25"/>
        <v>0</v>
      </c>
      <c r="X81" s="340">
        <f t="shared" si="26"/>
        <v>0</v>
      </c>
      <c r="Y81" s="333"/>
      <c r="Z81" s="334"/>
      <c r="AA81" s="328"/>
      <c r="AB81" s="328"/>
      <c r="AC81" s="328"/>
      <c r="AD81" s="328"/>
      <c r="AE81" s="328"/>
      <c r="AF81" s="328"/>
      <c r="AG81" s="328"/>
      <c r="AH81" s="328"/>
      <c r="AI81" s="328"/>
      <c r="AJ81" s="328"/>
      <c r="AK81" s="335"/>
      <c r="AL81" s="334"/>
      <c r="AM81" s="328"/>
      <c r="AN81" s="328"/>
      <c r="AO81" s="328"/>
      <c r="AP81" s="328"/>
      <c r="AQ81" s="271"/>
      <c r="AR81" s="271"/>
      <c r="AS81" s="271"/>
      <c r="AT81" s="271"/>
      <c r="AU81" s="271"/>
      <c r="AV81" s="271"/>
      <c r="AW81" s="272"/>
      <c r="AX81" s="245"/>
      <c r="AY81" s="273">
        <v>0</v>
      </c>
      <c r="AZ81" s="274">
        <f t="shared" si="15"/>
        <v>0</v>
      </c>
      <c r="BA81" s="275">
        <v>0</v>
      </c>
      <c r="BB81" s="276" t="e">
        <f t="shared" si="10"/>
        <v>#REF!</v>
      </c>
      <c r="BC81" s="277" t="e">
        <f t="shared" si="16"/>
        <v>#REF!</v>
      </c>
      <c r="BD81" s="278" t="e">
        <f t="shared" si="11"/>
        <v>#REF!</v>
      </c>
      <c r="BF81" s="770" t="e">
        <f t="shared" si="17"/>
        <v>#REF!</v>
      </c>
      <c r="BG81" s="771"/>
      <c r="BH81" s="279" t="e">
        <f t="shared" si="18"/>
        <v>#REF!</v>
      </c>
      <c r="BI81" s="772" t="e">
        <f t="shared" si="19"/>
        <v>#REF!</v>
      </c>
      <c r="BJ81" s="773"/>
      <c r="BK81" s="774" t="e">
        <f>IF(BR81&gt;0,CHOOSE(MATCH(RegimeExecucao,{"Unitário","Global"},0),IF($A81="S",BR81/BN81,""),(BR81/BN81)*100),"")</f>
        <v>#REF!</v>
      </c>
      <c r="BL81" s="775"/>
      <c r="BM81" s="776"/>
      <c r="BN81" s="777" t="e">
        <f>IF(BR81&gt;0,CHOOSE(MATCH(RegimeExecucao,{"Unitário","Global"},0),IF($A81="S",ROUND(P81,arredunit),""),ROUND(R81,arredtot)),"")</f>
        <v>#REF!</v>
      </c>
      <c r="BO81" s="778"/>
      <c r="BP81" s="778"/>
      <c r="BQ81" s="779"/>
      <c r="BR81" s="777" t="e">
        <f t="shared" si="1"/>
        <v>#REF!</v>
      </c>
      <c r="BS81" s="778"/>
      <c r="BT81" s="778"/>
      <c r="BU81" s="779"/>
      <c r="BV81" s="780"/>
      <c r="BW81" s="780"/>
      <c r="BX81" s="780"/>
      <c r="BY81" s="780"/>
      <c r="BZ81" s="780"/>
      <c r="CA81" s="781"/>
      <c r="CB81" s="245"/>
      <c r="CC81" s="245"/>
    </row>
    <row r="82" spans="1:81" s="222" customFormat="1" ht="43.2" customHeight="1">
      <c r="A82" s="222" t="str">
        <f t="shared" si="12"/>
        <v>S</v>
      </c>
      <c r="B82" s="222">
        <f t="shared" si="13"/>
        <v>0</v>
      </c>
      <c r="C82" s="222">
        <f t="shared" ca="1" si="2"/>
        <v>11</v>
      </c>
      <c r="D82" s="222">
        <f t="shared" ca="1" si="3"/>
        <v>0</v>
      </c>
      <c r="E82" s="222">
        <f t="shared" ca="1" si="4"/>
        <v>0</v>
      </c>
      <c r="F82" s="222">
        <f t="shared" ca="1" si="5"/>
        <v>0</v>
      </c>
      <c r="G82" s="222">
        <f t="shared" ca="1" si="6"/>
        <v>2</v>
      </c>
      <c r="H82" s="222">
        <f t="shared" ca="1" si="7"/>
        <v>0</v>
      </c>
      <c r="I82" s="222">
        <f t="shared" ca="1" si="8"/>
        <v>0</v>
      </c>
      <c r="J82" s="222">
        <f t="shared" si="9"/>
        <v>1</v>
      </c>
      <c r="K82" s="269" t="s">
        <v>4</v>
      </c>
      <c r="L82" s="336" t="s">
        <v>161</v>
      </c>
      <c r="M82" s="325" t="s">
        <v>162</v>
      </c>
      <c r="N82" s="326" t="s">
        <v>93</v>
      </c>
      <c r="O82" s="327">
        <v>8.0000939165551408</v>
      </c>
      <c r="P82" s="328">
        <v>425.91</v>
      </c>
      <c r="Q82" s="329">
        <f t="shared" si="14"/>
        <v>0</v>
      </c>
      <c r="R82" s="330">
        <f t="shared" si="20"/>
        <v>3407.32</v>
      </c>
      <c r="S82" s="331">
        <f t="shared" si="21"/>
        <v>0</v>
      </c>
      <c r="T82" s="337">
        <f t="shared" si="22"/>
        <v>0</v>
      </c>
      <c r="U82" s="332">
        <f t="shared" si="23"/>
        <v>0</v>
      </c>
      <c r="V82" s="338">
        <f t="shared" si="24"/>
        <v>0</v>
      </c>
      <c r="W82" s="339">
        <f t="shared" si="25"/>
        <v>0</v>
      </c>
      <c r="X82" s="340">
        <f t="shared" si="26"/>
        <v>0</v>
      </c>
      <c r="Y82" s="333"/>
      <c r="Z82" s="334"/>
      <c r="AA82" s="328"/>
      <c r="AB82" s="328"/>
      <c r="AC82" s="328"/>
      <c r="AD82" s="328"/>
      <c r="AE82" s="328"/>
      <c r="AF82" s="328"/>
      <c r="AG82" s="328"/>
      <c r="AH82" s="328"/>
      <c r="AI82" s="328"/>
      <c r="AJ82" s="328"/>
      <c r="AK82" s="335"/>
      <c r="AL82" s="334"/>
      <c r="AM82" s="328"/>
      <c r="AN82" s="328"/>
      <c r="AO82" s="328"/>
      <c r="AP82" s="328"/>
      <c r="AQ82" s="271"/>
      <c r="AR82" s="271"/>
      <c r="AS82" s="271"/>
      <c r="AT82" s="271"/>
      <c r="AU82" s="271"/>
      <c r="AV82" s="271"/>
      <c r="AW82" s="272"/>
      <c r="AX82" s="245"/>
      <c r="AY82" s="273">
        <v>0</v>
      </c>
      <c r="AZ82" s="274">
        <f t="shared" si="15"/>
        <v>0</v>
      </c>
      <c r="BA82" s="275">
        <v>0</v>
      </c>
      <c r="BB82" s="276" t="e">
        <f t="shared" si="10"/>
        <v>#REF!</v>
      </c>
      <c r="BC82" s="277" t="e">
        <f t="shared" si="16"/>
        <v>#REF!</v>
      </c>
      <c r="BD82" s="278" t="e">
        <f t="shared" si="11"/>
        <v>#REF!</v>
      </c>
      <c r="BF82" s="770" t="e">
        <f t="shared" si="17"/>
        <v>#REF!</v>
      </c>
      <c r="BG82" s="771"/>
      <c r="BH82" s="279" t="e">
        <f t="shared" si="18"/>
        <v>#REF!</v>
      </c>
      <c r="BI82" s="772" t="e">
        <f t="shared" si="19"/>
        <v>#REF!</v>
      </c>
      <c r="BJ82" s="773"/>
      <c r="BK82" s="774" t="e">
        <f>IF(BR82&gt;0,CHOOSE(MATCH(RegimeExecucao,{"Unitário","Global"},0),IF($A82="S",BR82/BN82,""),(BR82/BN82)*100),"")</f>
        <v>#REF!</v>
      </c>
      <c r="BL82" s="775"/>
      <c r="BM82" s="776"/>
      <c r="BN82" s="777" t="e">
        <f>IF(BR82&gt;0,CHOOSE(MATCH(RegimeExecucao,{"Unitário","Global"},0),IF($A82="S",ROUND(P82,arredunit),""),ROUND(R82,arredtot)),"")</f>
        <v>#REF!</v>
      </c>
      <c r="BO82" s="778"/>
      <c r="BP82" s="778"/>
      <c r="BQ82" s="779"/>
      <c r="BR82" s="777" t="e">
        <f t="shared" ref="BR82:BR94" si="27">$X82-$BD82</f>
        <v>#REF!</v>
      </c>
      <c r="BS82" s="778"/>
      <c r="BT82" s="778"/>
      <c r="BU82" s="779"/>
      <c r="BV82" s="780"/>
      <c r="BW82" s="780"/>
      <c r="BX82" s="780"/>
      <c r="BY82" s="780"/>
      <c r="BZ82" s="780"/>
      <c r="CA82" s="781"/>
      <c r="CB82" s="245"/>
      <c r="CC82" s="245"/>
    </row>
    <row r="83" spans="1:81" s="222" customFormat="1" ht="45" customHeight="1">
      <c r="A83" s="222" t="str">
        <f t="shared" si="12"/>
        <v>S</v>
      </c>
      <c r="B83" s="222">
        <f t="shared" si="13"/>
        <v>0</v>
      </c>
      <c r="C83" s="222">
        <f t="shared" ref="C83:C94" ca="1" si="28">IF($A83=1,OFFSET(C83,-1,0)+1,OFFSET(C83,-1,0))</f>
        <v>11</v>
      </c>
      <c r="D83" s="222">
        <f t="shared" ref="D83:D94" ca="1" si="29">IF($A83=1,0,IF($A83=2,OFFSET(D83,-1,0)+1,OFFSET(D83,-1,0)))</f>
        <v>0</v>
      </c>
      <c r="E83" s="222">
        <f t="shared" ref="E83:E94" ca="1" si="30">IF(AND($A83&lt;=2,$A83&lt;&gt;0),0,IF($A83=3,OFFSET(E83,-1,0)+1,OFFSET(E83,-1,0)))</f>
        <v>0</v>
      </c>
      <c r="F83" s="222">
        <f t="shared" ref="F83:F94" ca="1" si="31">IF(AND($A83&lt;=3,$A83&lt;&gt;0),0,IF($A83=4,OFFSET(F83,-1,0)+1,OFFSET(F83,-1,0)))</f>
        <v>0</v>
      </c>
      <c r="G83" s="222">
        <f t="shared" ref="G83:G94" ca="1" si="32">IF(AND($A83&lt;=4,$A83&lt;&gt;0),0,IF($A83="S",OFFSET(G83,-1,0)+1,OFFSET(G83,-1,0)))</f>
        <v>3</v>
      </c>
      <c r="H83" s="222">
        <f t="shared" ref="H83:H94" ca="1" si="33">IF(OR($A83="S",$A83=0),0,MATCH(0,OFFSET($B83,1,$A83,ROW($A$96)-ROW($A83)),0))</f>
        <v>0</v>
      </c>
      <c r="I83" s="222">
        <f t="shared" ref="I83:I94" ca="1" si="34">IF(OR($A83="S",$A83=0),0,MATCH(OFFSET($B83,0,$A83)+1,OFFSET($B83,1,$A83,ROW($A$96)-ROW($A83)),0))</f>
        <v>0</v>
      </c>
      <c r="J83" s="222">
        <f t="shared" ref="J83:J94" si="35">LEN(LEFT($L83,LEN($L83)-1*(RIGHT($L83,1)=".")))-LEN(SUBSTITUTE(LEFT($L83,LEN($L83)-1*(RIGHT($L83,1)=".")),".",""))</f>
        <v>1</v>
      </c>
      <c r="K83" s="269" t="s">
        <v>4</v>
      </c>
      <c r="L83" s="336" t="s">
        <v>163</v>
      </c>
      <c r="M83" s="325" t="s">
        <v>164</v>
      </c>
      <c r="N83" s="326" t="s">
        <v>59</v>
      </c>
      <c r="O83" s="327">
        <v>360</v>
      </c>
      <c r="P83" s="328">
        <v>2.811638888888889</v>
      </c>
      <c r="Q83" s="329">
        <f t="shared" si="14"/>
        <v>0</v>
      </c>
      <c r="R83" s="330">
        <f t="shared" si="20"/>
        <v>1012.19</v>
      </c>
      <c r="S83" s="331">
        <f t="shared" si="21"/>
        <v>0</v>
      </c>
      <c r="T83" s="337">
        <f t="shared" si="22"/>
        <v>0</v>
      </c>
      <c r="U83" s="332">
        <f t="shared" si="23"/>
        <v>0</v>
      </c>
      <c r="V83" s="338">
        <f t="shared" si="24"/>
        <v>0</v>
      </c>
      <c r="W83" s="339">
        <f t="shared" si="25"/>
        <v>0</v>
      </c>
      <c r="X83" s="340">
        <f t="shared" si="26"/>
        <v>0</v>
      </c>
      <c r="Y83" s="333"/>
      <c r="Z83" s="334"/>
      <c r="AA83" s="328"/>
      <c r="AB83" s="328"/>
      <c r="AC83" s="328"/>
      <c r="AD83" s="328"/>
      <c r="AE83" s="328"/>
      <c r="AF83" s="328"/>
      <c r="AG83" s="328"/>
      <c r="AH83" s="328"/>
      <c r="AI83" s="328"/>
      <c r="AJ83" s="328"/>
      <c r="AK83" s="335"/>
      <c r="AL83" s="334"/>
      <c r="AM83" s="328"/>
      <c r="AN83" s="328"/>
      <c r="AO83" s="328"/>
      <c r="AP83" s="328"/>
      <c r="AQ83" s="271"/>
      <c r="AR83" s="271"/>
      <c r="AS83" s="271"/>
      <c r="AT83" s="271"/>
      <c r="AU83" s="271"/>
      <c r="AV83" s="271"/>
      <c r="AW83" s="272"/>
      <c r="AX83" s="245"/>
      <c r="AY83" s="273">
        <v>0</v>
      </c>
      <c r="AZ83" s="274">
        <f t="shared" si="15"/>
        <v>0</v>
      </c>
      <c r="BA83" s="275">
        <v>0</v>
      </c>
      <c r="BB83" s="276" t="e">
        <f>IF($A83="S",VTOTAL,IF($A83=0,0,ROUND(SomaAgrup,arredtot)))</f>
        <v>#REF!</v>
      </c>
      <c r="BC83" s="277" t="e">
        <f t="shared" si="16"/>
        <v>#REF!</v>
      </c>
      <c r="BD83" s="278" t="e">
        <f>IF($A83="S",VTOTAL,IF($A83=0,0,ROUND(SomaAgrup,arredtot)))</f>
        <v>#REF!</v>
      </c>
      <c r="BF83" s="770" t="e">
        <f t="shared" si="17"/>
        <v>#REF!</v>
      </c>
      <c r="BG83" s="771"/>
      <c r="BH83" s="279" t="e">
        <f t="shared" si="18"/>
        <v>#REF!</v>
      </c>
      <c r="BI83" s="772" t="e">
        <f t="shared" si="19"/>
        <v>#REF!</v>
      </c>
      <c r="BJ83" s="773"/>
      <c r="BK83" s="774" t="e">
        <f>IF(BR83&gt;0,CHOOSE(MATCH(RegimeExecucao,{"Unitário","Global"},0),IF($A83="S",BR83/BN83,""),(BR83/BN83)*100),"")</f>
        <v>#REF!</v>
      </c>
      <c r="BL83" s="775"/>
      <c r="BM83" s="776"/>
      <c r="BN83" s="777" t="e">
        <f>IF(BR83&gt;0,CHOOSE(MATCH(RegimeExecucao,{"Unitário","Global"},0),IF($A83="S",ROUND(P83,arredunit),""),ROUND(R83,arredtot)),"")</f>
        <v>#REF!</v>
      </c>
      <c r="BO83" s="778"/>
      <c r="BP83" s="778"/>
      <c r="BQ83" s="779"/>
      <c r="BR83" s="777" t="e">
        <f t="shared" si="27"/>
        <v>#REF!</v>
      </c>
      <c r="BS83" s="778"/>
      <c r="BT83" s="778"/>
      <c r="BU83" s="779"/>
      <c r="BV83" s="780"/>
      <c r="BW83" s="780"/>
      <c r="BX83" s="780"/>
      <c r="BY83" s="780"/>
      <c r="BZ83" s="780"/>
      <c r="CA83" s="781"/>
      <c r="CB83" s="245"/>
      <c r="CC83" s="245"/>
    </row>
    <row r="84" spans="1:81" s="222" customFormat="1" ht="44.4" customHeight="1">
      <c r="A84" s="222" t="str">
        <f t="shared" ref="A84:A94" si="36">CHOOSE(1+LOG(1+2*(K84="Meta")+4*(K84="Nível 2")+8*(K84="Nível 3")+16*(K84="Nível 4")+32*(K84="Serviço"),2),0,1,2,3,4,"S")</f>
        <v>S</v>
      </c>
      <c r="B84" s="222">
        <f t="shared" ref="B84:B94" si="37">IF(OR(A84="S",A84=0),0,IF(ISERROR(I84),H84,SMALL(H84:I84,1)))</f>
        <v>0</v>
      </c>
      <c r="C84" s="222">
        <f t="shared" ca="1" si="28"/>
        <v>11</v>
      </c>
      <c r="D84" s="222">
        <f t="shared" ca="1" si="29"/>
        <v>0</v>
      </c>
      <c r="E84" s="222">
        <f t="shared" ca="1" si="30"/>
        <v>0</v>
      </c>
      <c r="F84" s="222">
        <f t="shared" ca="1" si="31"/>
        <v>0</v>
      </c>
      <c r="G84" s="222">
        <f t="shared" ca="1" si="32"/>
        <v>4</v>
      </c>
      <c r="H84" s="222">
        <f t="shared" ca="1" si="33"/>
        <v>0</v>
      </c>
      <c r="I84" s="222">
        <f t="shared" ca="1" si="34"/>
        <v>0</v>
      </c>
      <c r="J84" s="222">
        <f t="shared" si="35"/>
        <v>1</v>
      </c>
      <c r="K84" s="269" t="s">
        <v>4</v>
      </c>
      <c r="L84" s="336" t="s">
        <v>165</v>
      </c>
      <c r="M84" s="325" t="s">
        <v>166</v>
      </c>
      <c r="N84" s="326" t="s">
        <v>59</v>
      </c>
      <c r="O84" s="327">
        <v>150</v>
      </c>
      <c r="P84" s="328">
        <v>8.1547333333333345</v>
      </c>
      <c r="Q84" s="329">
        <f t="shared" ref="Q84:Q94" si="38">IF($A84="S",0,$R84)</f>
        <v>0</v>
      </c>
      <c r="R84" s="330">
        <f t="shared" si="20"/>
        <v>1223.2100000000003</v>
      </c>
      <c r="S84" s="331">
        <f t="shared" si="21"/>
        <v>0</v>
      </c>
      <c r="T84" s="337">
        <f t="shared" si="22"/>
        <v>0</v>
      </c>
      <c r="U84" s="332">
        <f t="shared" si="23"/>
        <v>0</v>
      </c>
      <c r="V84" s="338">
        <f t="shared" si="24"/>
        <v>0</v>
      </c>
      <c r="W84" s="339">
        <f t="shared" si="25"/>
        <v>0</v>
      </c>
      <c r="X84" s="340">
        <f t="shared" si="26"/>
        <v>0</v>
      </c>
      <c r="Y84" s="333"/>
      <c r="Z84" s="334"/>
      <c r="AA84" s="328"/>
      <c r="AB84" s="328"/>
      <c r="AC84" s="328"/>
      <c r="AD84" s="328"/>
      <c r="AE84" s="328"/>
      <c r="AF84" s="328"/>
      <c r="AG84" s="328"/>
      <c r="AH84" s="328"/>
      <c r="AI84" s="328"/>
      <c r="AJ84" s="328"/>
      <c r="AK84" s="335"/>
      <c r="AL84" s="334"/>
      <c r="AM84" s="328"/>
      <c r="AN84" s="328"/>
      <c r="AO84" s="328"/>
      <c r="AP84" s="328"/>
      <c r="AQ84" s="271"/>
      <c r="AR84" s="271"/>
      <c r="AS84" s="271"/>
      <c r="AT84" s="271"/>
      <c r="AU84" s="271"/>
      <c r="AV84" s="271"/>
      <c r="AW84" s="272"/>
      <c r="AX84" s="245"/>
      <c r="AY84" s="273">
        <v>0</v>
      </c>
      <c r="AZ84" s="274">
        <f t="shared" ref="AZ84:AZ94" si="39">BA84-AY84</f>
        <v>0</v>
      </c>
      <c r="BA84" s="275">
        <v>0</v>
      </c>
      <c r="BB84" s="276" t="e">
        <f>IF($A84="S",VTOTAL,IF($A84=0,0,ROUND(SomaAgrup,arredtot)))</f>
        <v>#REF!</v>
      </c>
      <c r="BC84" s="277" t="e">
        <f t="shared" ref="BC84:BC94" si="40">BD84-BB84</f>
        <v>#REF!</v>
      </c>
      <c r="BD84" s="278" t="e">
        <f>IF($A84="S",VTOTAL,IF($A84=0,0,ROUND(SomaAgrup,arredtot)))</f>
        <v>#REF!</v>
      </c>
      <c r="BF84" s="770" t="e">
        <f t="shared" ref="BF84:BF94" si="41">IF(BK84&gt;0,L84,"")</f>
        <v>#REF!</v>
      </c>
      <c r="BG84" s="771"/>
      <c r="BH84" s="279" t="e">
        <f t="shared" ref="BH84:BH94" si="42">IF(BK84&gt;0,M84,"")</f>
        <v>#REF!</v>
      </c>
      <c r="BI84" s="772" t="e">
        <f t="shared" ref="BI84:BI94" si="43">IF(BK84&gt;0,N84,"")</f>
        <v>#REF!</v>
      </c>
      <c r="BJ84" s="773"/>
      <c r="BK84" s="774" t="e">
        <f>IF(BR84&gt;0,CHOOSE(MATCH(RegimeExecucao,{"Unitário","Global"},0),IF($A84="S",BR84/BN84,""),(BR84/BN84)*100),"")</f>
        <v>#REF!</v>
      </c>
      <c r="BL84" s="775"/>
      <c r="BM84" s="776"/>
      <c r="BN84" s="777" t="e">
        <f>IF(BR84&gt;0,CHOOSE(MATCH(RegimeExecucao,{"Unitário","Global"},0),IF($A84="S",ROUND(P84,arredunit),""),ROUND(R84,arredtot)),"")</f>
        <v>#REF!</v>
      </c>
      <c r="BO84" s="778"/>
      <c r="BP84" s="778"/>
      <c r="BQ84" s="779"/>
      <c r="BR84" s="777" t="e">
        <f t="shared" si="27"/>
        <v>#REF!</v>
      </c>
      <c r="BS84" s="778"/>
      <c r="BT84" s="778"/>
      <c r="BU84" s="779"/>
      <c r="BV84" s="780"/>
      <c r="BW84" s="780"/>
      <c r="BX84" s="780"/>
      <c r="BY84" s="780"/>
      <c r="BZ84" s="780"/>
      <c r="CA84" s="781"/>
      <c r="CB84" s="245"/>
      <c r="CC84" s="245"/>
    </row>
    <row r="85" spans="1:81" s="222" customFormat="1" ht="30" customHeight="1">
      <c r="A85" s="222" t="str">
        <f t="shared" si="36"/>
        <v>S</v>
      </c>
      <c r="B85" s="222">
        <f t="shared" si="37"/>
        <v>0</v>
      </c>
      <c r="C85" s="222">
        <f t="shared" ca="1" si="28"/>
        <v>11</v>
      </c>
      <c r="D85" s="222">
        <f t="shared" ca="1" si="29"/>
        <v>0</v>
      </c>
      <c r="E85" s="222">
        <f t="shared" ca="1" si="30"/>
        <v>0</v>
      </c>
      <c r="F85" s="222">
        <f t="shared" ca="1" si="31"/>
        <v>0</v>
      </c>
      <c r="G85" s="222">
        <f t="shared" ca="1" si="32"/>
        <v>5</v>
      </c>
      <c r="H85" s="222">
        <f t="shared" ca="1" si="33"/>
        <v>0</v>
      </c>
      <c r="I85" s="222">
        <f t="shared" ca="1" si="34"/>
        <v>0</v>
      </c>
      <c r="J85" s="222">
        <f t="shared" si="35"/>
        <v>1</v>
      </c>
      <c r="K85" s="269" t="s">
        <v>4</v>
      </c>
      <c r="L85" s="336" t="s">
        <v>167</v>
      </c>
      <c r="M85" s="325" t="s">
        <v>168</v>
      </c>
      <c r="N85" s="326" t="s">
        <v>93</v>
      </c>
      <c r="O85" s="327">
        <v>8.9990196078431381</v>
      </c>
      <c r="P85" s="328">
        <v>20.399999999999999</v>
      </c>
      <c r="Q85" s="329">
        <f t="shared" si="38"/>
        <v>0</v>
      </c>
      <c r="R85" s="330">
        <f t="shared" ref="R85:R95" si="44">P85*O85</f>
        <v>183.58</v>
      </c>
      <c r="S85" s="331">
        <f t="shared" ref="S85:S95" si="45">Z85+AA85</f>
        <v>0</v>
      </c>
      <c r="T85" s="337">
        <f t="shared" ref="T85:T95" si="46">AB85</f>
        <v>0</v>
      </c>
      <c r="U85" s="332">
        <f t="shared" ref="U85:U95" si="47">S85+T85</f>
        <v>0</v>
      </c>
      <c r="V85" s="338">
        <f t="shared" ref="V85:V95" si="48">IF(O85-Z85-AA85&gt;0.01,(Z85+AA85)*P85,R85)</f>
        <v>0</v>
      </c>
      <c r="W85" s="339">
        <f t="shared" ref="W85:W95" si="49">IF(O85-AB85&gt;0.01,AB85*P85,R85)</f>
        <v>0</v>
      </c>
      <c r="X85" s="340">
        <f t="shared" ref="X85:X95" si="50">V85+W85</f>
        <v>0</v>
      </c>
      <c r="Y85" s="333"/>
      <c r="Z85" s="334"/>
      <c r="AA85" s="328"/>
      <c r="AB85" s="328"/>
      <c r="AC85" s="328"/>
      <c r="AD85" s="328"/>
      <c r="AE85" s="328"/>
      <c r="AF85" s="328"/>
      <c r="AG85" s="328"/>
      <c r="AH85" s="328"/>
      <c r="AI85" s="328"/>
      <c r="AJ85" s="328"/>
      <c r="AK85" s="335"/>
      <c r="AL85" s="334"/>
      <c r="AM85" s="328"/>
      <c r="AN85" s="328"/>
      <c r="AO85" s="328"/>
      <c r="AP85" s="328"/>
      <c r="AQ85" s="271"/>
      <c r="AR85" s="271"/>
      <c r="AS85" s="271"/>
      <c r="AT85" s="271"/>
      <c r="AU85" s="271"/>
      <c r="AV85" s="271"/>
      <c r="AW85" s="272"/>
      <c r="AX85" s="245"/>
      <c r="AY85" s="273">
        <v>0</v>
      </c>
      <c r="AZ85" s="274">
        <f t="shared" si="39"/>
        <v>0</v>
      </c>
      <c r="BA85" s="275">
        <v>0</v>
      </c>
      <c r="BB85" s="276" t="e">
        <f>IF($A85="S",VTOTAL,IF($A85=0,0,ROUND(SomaAgrup,arredtot)))</f>
        <v>#REF!</v>
      </c>
      <c r="BC85" s="277" t="e">
        <f t="shared" si="40"/>
        <v>#REF!</v>
      </c>
      <c r="BD85" s="278" t="e">
        <f>IF($A85="S",VTOTAL,IF($A85=0,0,ROUND(SomaAgrup,arredtot)))</f>
        <v>#REF!</v>
      </c>
      <c r="BF85" s="770" t="e">
        <f t="shared" si="41"/>
        <v>#REF!</v>
      </c>
      <c r="BG85" s="771"/>
      <c r="BH85" s="279" t="e">
        <f t="shared" si="42"/>
        <v>#REF!</v>
      </c>
      <c r="BI85" s="772" t="e">
        <f t="shared" si="43"/>
        <v>#REF!</v>
      </c>
      <c r="BJ85" s="773"/>
      <c r="BK85" s="774" t="e">
        <f>IF(BR85&gt;0,CHOOSE(MATCH(RegimeExecucao,{"Unitário","Global"},0),IF($A85="S",BR85/BN85,""),(BR85/BN85)*100),"")</f>
        <v>#REF!</v>
      </c>
      <c r="BL85" s="775"/>
      <c r="BM85" s="776"/>
      <c r="BN85" s="777" t="e">
        <f>IF(BR85&gt;0,CHOOSE(MATCH(RegimeExecucao,{"Unitário","Global"},0),IF($A85="S",ROUND(P85,arredunit),""),ROUND(R85,arredtot)),"")</f>
        <v>#REF!</v>
      </c>
      <c r="BO85" s="778"/>
      <c r="BP85" s="778"/>
      <c r="BQ85" s="779"/>
      <c r="BR85" s="777" t="e">
        <f t="shared" si="27"/>
        <v>#REF!</v>
      </c>
      <c r="BS85" s="778"/>
      <c r="BT85" s="778"/>
      <c r="BU85" s="779"/>
      <c r="BV85" s="780"/>
      <c r="BW85" s="780"/>
      <c r="BX85" s="780"/>
      <c r="BY85" s="780"/>
      <c r="BZ85" s="780"/>
      <c r="CA85" s="781"/>
      <c r="CB85" s="245"/>
      <c r="CC85" s="245"/>
    </row>
    <row r="86" spans="1:81" s="222" customFormat="1" ht="31.2" customHeight="1">
      <c r="A86" s="222" t="str">
        <f t="shared" si="36"/>
        <v>S</v>
      </c>
      <c r="B86" s="222">
        <f t="shared" si="37"/>
        <v>0</v>
      </c>
      <c r="C86" s="222">
        <f t="shared" ca="1" si="28"/>
        <v>11</v>
      </c>
      <c r="D86" s="222">
        <f t="shared" ca="1" si="29"/>
        <v>0</v>
      </c>
      <c r="E86" s="222">
        <f t="shared" ca="1" si="30"/>
        <v>0</v>
      </c>
      <c r="F86" s="222">
        <f t="shared" ca="1" si="31"/>
        <v>0</v>
      </c>
      <c r="G86" s="222">
        <f t="shared" ca="1" si="32"/>
        <v>6</v>
      </c>
      <c r="H86" s="222">
        <f t="shared" ca="1" si="33"/>
        <v>0</v>
      </c>
      <c r="I86" s="222">
        <f t="shared" ca="1" si="34"/>
        <v>0</v>
      </c>
      <c r="J86" s="222">
        <f t="shared" si="35"/>
        <v>1</v>
      </c>
      <c r="K86" s="269" t="s">
        <v>4</v>
      </c>
      <c r="L86" s="336" t="s">
        <v>169</v>
      </c>
      <c r="M86" s="325" t="s">
        <v>170</v>
      </c>
      <c r="N86" s="326" t="s">
        <v>93</v>
      </c>
      <c r="O86" s="327">
        <v>8.0000804812780419</v>
      </c>
      <c r="P86" s="328">
        <v>497.01</v>
      </c>
      <c r="Q86" s="329">
        <f t="shared" si="38"/>
        <v>0</v>
      </c>
      <c r="R86" s="330">
        <f t="shared" si="44"/>
        <v>3976.1199999999994</v>
      </c>
      <c r="S86" s="331">
        <f t="shared" si="45"/>
        <v>0</v>
      </c>
      <c r="T86" s="337">
        <f t="shared" si="46"/>
        <v>0</v>
      </c>
      <c r="U86" s="332">
        <f t="shared" si="47"/>
        <v>0</v>
      </c>
      <c r="V86" s="338">
        <f t="shared" si="48"/>
        <v>0</v>
      </c>
      <c r="W86" s="339">
        <f t="shared" si="49"/>
        <v>0</v>
      </c>
      <c r="X86" s="340">
        <f t="shared" si="50"/>
        <v>0</v>
      </c>
      <c r="Y86" s="333"/>
      <c r="Z86" s="334"/>
      <c r="AA86" s="328"/>
      <c r="AB86" s="328"/>
      <c r="AC86" s="328"/>
      <c r="AD86" s="328"/>
      <c r="AE86" s="328"/>
      <c r="AF86" s="328"/>
      <c r="AG86" s="328"/>
      <c r="AH86" s="328"/>
      <c r="AI86" s="328"/>
      <c r="AJ86" s="328"/>
      <c r="AK86" s="335"/>
      <c r="AL86" s="334"/>
      <c r="AM86" s="328"/>
      <c r="AN86" s="328"/>
      <c r="AO86" s="328"/>
      <c r="AP86" s="328"/>
      <c r="AQ86" s="271"/>
      <c r="AR86" s="271"/>
      <c r="AS86" s="271"/>
      <c r="AT86" s="271"/>
      <c r="AU86" s="271"/>
      <c r="AV86" s="271"/>
      <c r="AW86" s="272"/>
      <c r="AX86" s="245"/>
      <c r="AY86" s="273">
        <v>0</v>
      </c>
      <c r="AZ86" s="274">
        <f t="shared" si="39"/>
        <v>0</v>
      </c>
      <c r="BA86" s="275">
        <v>0</v>
      </c>
      <c r="BB86" s="276" t="e">
        <f>IF($A86="S",VTOTAL,IF($A86=0,0,ROUND(SomaAgrup,arredtot)))</f>
        <v>#REF!</v>
      </c>
      <c r="BC86" s="277" t="e">
        <f t="shared" si="40"/>
        <v>#REF!</v>
      </c>
      <c r="BD86" s="278" t="e">
        <f>IF($A86="S",VTOTAL,IF($A86=0,0,ROUND(SomaAgrup,arredtot)))</f>
        <v>#REF!</v>
      </c>
      <c r="BF86" s="770" t="e">
        <f t="shared" si="41"/>
        <v>#REF!</v>
      </c>
      <c r="BG86" s="771"/>
      <c r="BH86" s="279" t="e">
        <f t="shared" si="42"/>
        <v>#REF!</v>
      </c>
      <c r="BI86" s="772" t="e">
        <f t="shared" si="43"/>
        <v>#REF!</v>
      </c>
      <c r="BJ86" s="773"/>
      <c r="BK86" s="774" t="e">
        <f>IF(BR86&gt;0,CHOOSE(MATCH(RegimeExecucao,{"Unitário","Global"},0),IF($A86="S",BR86/BN86,""),(BR86/BN86)*100),"")</f>
        <v>#REF!</v>
      </c>
      <c r="BL86" s="775"/>
      <c r="BM86" s="776"/>
      <c r="BN86" s="777" t="e">
        <f>IF(BR86&gt;0,CHOOSE(MATCH(RegimeExecucao,{"Unitário","Global"},0),IF($A86="S",ROUND(P86,arredunit),""),ROUND(R86,arredtot)),"")</f>
        <v>#REF!</v>
      </c>
      <c r="BO86" s="778"/>
      <c r="BP86" s="778"/>
      <c r="BQ86" s="779"/>
      <c r="BR86" s="777" t="e">
        <f t="shared" si="27"/>
        <v>#REF!</v>
      </c>
      <c r="BS86" s="778"/>
      <c r="BT86" s="778"/>
      <c r="BU86" s="779"/>
      <c r="BV86" s="780"/>
      <c r="BW86" s="780"/>
      <c r="BX86" s="780"/>
      <c r="BY86" s="780"/>
      <c r="BZ86" s="780"/>
      <c r="CA86" s="781"/>
      <c r="CB86" s="245"/>
      <c r="CC86" s="245"/>
    </row>
    <row r="87" spans="1:81" s="222" customFormat="1" ht="31.2" customHeight="1">
      <c r="A87" s="222" t="str">
        <f t="shared" si="36"/>
        <v>S</v>
      </c>
      <c r="B87" s="222">
        <f t="shared" si="37"/>
        <v>0</v>
      </c>
      <c r="C87" s="222">
        <f t="shared" ca="1" si="28"/>
        <v>11</v>
      </c>
      <c r="D87" s="222">
        <f t="shared" ca="1" si="29"/>
        <v>0</v>
      </c>
      <c r="E87" s="222">
        <f t="shared" ca="1" si="30"/>
        <v>0</v>
      </c>
      <c r="F87" s="222">
        <f t="shared" ca="1" si="31"/>
        <v>0</v>
      </c>
      <c r="G87" s="222">
        <f t="shared" ca="1" si="32"/>
        <v>7</v>
      </c>
      <c r="H87" s="222">
        <f t="shared" ca="1" si="33"/>
        <v>0</v>
      </c>
      <c r="I87" s="222">
        <f t="shared" ca="1" si="34"/>
        <v>0</v>
      </c>
      <c r="J87" s="222">
        <f t="shared" si="35"/>
        <v>1</v>
      </c>
      <c r="K87" s="269" t="s">
        <v>4</v>
      </c>
      <c r="L87" s="336" t="s">
        <v>171</v>
      </c>
      <c r="M87" s="325" t="s">
        <v>172</v>
      </c>
      <c r="N87" s="326" t="s">
        <v>93</v>
      </c>
      <c r="O87" s="327">
        <v>8</v>
      </c>
      <c r="P87" s="328">
        <v>6.9612499999999997</v>
      </c>
      <c r="Q87" s="329">
        <f t="shared" si="38"/>
        <v>0</v>
      </c>
      <c r="R87" s="330">
        <f t="shared" si="44"/>
        <v>55.69</v>
      </c>
      <c r="S87" s="331">
        <f t="shared" si="45"/>
        <v>0</v>
      </c>
      <c r="T87" s="337">
        <f t="shared" si="46"/>
        <v>0</v>
      </c>
      <c r="U87" s="332">
        <f t="shared" si="47"/>
        <v>0</v>
      </c>
      <c r="V87" s="338">
        <f t="shared" si="48"/>
        <v>0</v>
      </c>
      <c r="W87" s="339">
        <f t="shared" si="49"/>
        <v>0</v>
      </c>
      <c r="X87" s="340">
        <f t="shared" si="50"/>
        <v>0</v>
      </c>
      <c r="Y87" s="333"/>
      <c r="Z87" s="334"/>
      <c r="AA87" s="328"/>
      <c r="AB87" s="328"/>
      <c r="AC87" s="328"/>
      <c r="AD87" s="328"/>
      <c r="AE87" s="328"/>
      <c r="AF87" s="328"/>
      <c r="AG87" s="328"/>
      <c r="AH87" s="328"/>
      <c r="AI87" s="328"/>
      <c r="AJ87" s="328"/>
      <c r="AK87" s="335"/>
      <c r="AL87" s="334"/>
      <c r="AM87" s="328"/>
      <c r="AN87" s="328"/>
      <c r="AO87" s="328"/>
      <c r="AP87" s="328"/>
      <c r="AQ87" s="271"/>
      <c r="AR87" s="271"/>
      <c r="AS87" s="271"/>
      <c r="AT87" s="271"/>
      <c r="AU87" s="271"/>
      <c r="AV87" s="271"/>
      <c r="AW87" s="272"/>
      <c r="AX87" s="245"/>
      <c r="AY87" s="273">
        <v>0</v>
      </c>
      <c r="AZ87" s="274">
        <f t="shared" si="39"/>
        <v>0</v>
      </c>
      <c r="BA87" s="275">
        <v>0</v>
      </c>
      <c r="BB87" s="276" t="e">
        <f>IF($A87="S",VTOTAL,IF($A87=0,0,ROUND(SomaAgrup,arredtot)))</f>
        <v>#REF!</v>
      </c>
      <c r="BC87" s="277" t="e">
        <f t="shared" si="40"/>
        <v>#REF!</v>
      </c>
      <c r="BD87" s="278" t="e">
        <f>IF($A87="S",VTOTAL,IF($A87=0,0,ROUND(SomaAgrup,arredtot)))</f>
        <v>#REF!</v>
      </c>
      <c r="BF87" s="770" t="e">
        <f t="shared" si="41"/>
        <v>#REF!</v>
      </c>
      <c r="BG87" s="771"/>
      <c r="BH87" s="279" t="e">
        <f t="shared" si="42"/>
        <v>#REF!</v>
      </c>
      <c r="BI87" s="772" t="e">
        <f t="shared" si="43"/>
        <v>#REF!</v>
      </c>
      <c r="BJ87" s="773"/>
      <c r="BK87" s="774" t="e">
        <f>IF(BR87&gt;0,CHOOSE(MATCH(RegimeExecucao,{"Unitário","Global"},0),IF($A87="S",BR87/BN87,""),(BR87/BN87)*100),"")</f>
        <v>#REF!</v>
      </c>
      <c r="BL87" s="775"/>
      <c r="BM87" s="776"/>
      <c r="BN87" s="777" t="e">
        <f>IF(BR87&gt;0,CHOOSE(MATCH(RegimeExecucao,{"Unitário","Global"},0),IF($A87="S",ROUND(P87,arredunit),""),ROUND(R87,arredtot)),"")</f>
        <v>#REF!</v>
      </c>
      <c r="BO87" s="778"/>
      <c r="BP87" s="778"/>
      <c r="BQ87" s="779"/>
      <c r="BR87" s="777" t="e">
        <f t="shared" si="27"/>
        <v>#REF!</v>
      </c>
      <c r="BS87" s="778"/>
      <c r="BT87" s="778"/>
      <c r="BU87" s="779"/>
      <c r="BV87" s="780"/>
      <c r="BW87" s="780"/>
      <c r="BX87" s="780"/>
      <c r="BY87" s="780"/>
      <c r="BZ87" s="780"/>
      <c r="CA87" s="781"/>
      <c r="CB87" s="245"/>
      <c r="CC87" s="245"/>
    </row>
    <row r="88" spans="1:81" s="222" customFormat="1" ht="29.4" customHeight="1">
      <c r="A88" s="222" t="str">
        <f t="shared" si="36"/>
        <v>S</v>
      </c>
      <c r="B88" s="222">
        <f t="shared" si="37"/>
        <v>0</v>
      </c>
      <c r="C88" s="222">
        <f t="shared" ca="1" si="28"/>
        <v>11</v>
      </c>
      <c r="D88" s="222">
        <f t="shared" ca="1" si="29"/>
        <v>0</v>
      </c>
      <c r="E88" s="222">
        <f t="shared" ca="1" si="30"/>
        <v>0</v>
      </c>
      <c r="F88" s="222">
        <f t="shared" ca="1" si="31"/>
        <v>0</v>
      </c>
      <c r="G88" s="222">
        <f t="shared" ca="1" si="32"/>
        <v>8</v>
      </c>
      <c r="H88" s="222">
        <f t="shared" ca="1" si="33"/>
        <v>0</v>
      </c>
      <c r="I88" s="222">
        <f t="shared" ca="1" si="34"/>
        <v>0</v>
      </c>
      <c r="J88" s="222">
        <f t="shared" si="35"/>
        <v>1</v>
      </c>
      <c r="K88" s="269" t="s">
        <v>4</v>
      </c>
      <c r="L88" s="336" t="s">
        <v>173</v>
      </c>
      <c r="M88" s="325" t="s">
        <v>174</v>
      </c>
      <c r="N88" s="326" t="s">
        <v>93</v>
      </c>
      <c r="O88" s="327">
        <v>11.000419815281276</v>
      </c>
      <c r="P88" s="328">
        <v>23.82</v>
      </c>
      <c r="Q88" s="329">
        <f t="shared" si="38"/>
        <v>0</v>
      </c>
      <c r="R88" s="330">
        <f t="shared" si="44"/>
        <v>262.03000000000003</v>
      </c>
      <c r="S88" s="331">
        <f t="shared" si="45"/>
        <v>0</v>
      </c>
      <c r="T88" s="337">
        <f t="shared" si="46"/>
        <v>0</v>
      </c>
      <c r="U88" s="332">
        <f t="shared" si="47"/>
        <v>0</v>
      </c>
      <c r="V88" s="338">
        <f t="shared" si="48"/>
        <v>0</v>
      </c>
      <c r="W88" s="339">
        <f t="shared" si="49"/>
        <v>0</v>
      </c>
      <c r="X88" s="340">
        <f t="shared" si="50"/>
        <v>0</v>
      </c>
      <c r="Y88" s="333"/>
      <c r="Z88" s="334"/>
      <c r="AA88" s="328"/>
      <c r="AB88" s="328"/>
      <c r="AC88" s="328"/>
      <c r="AD88" s="328"/>
      <c r="AE88" s="328"/>
      <c r="AF88" s="328"/>
      <c r="AG88" s="328"/>
      <c r="AH88" s="328"/>
      <c r="AI88" s="328"/>
      <c r="AJ88" s="328"/>
      <c r="AK88" s="335"/>
      <c r="AL88" s="334"/>
      <c r="AM88" s="328"/>
      <c r="AN88" s="328"/>
      <c r="AO88" s="328"/>
      <c r="AP88" s="328"/>
      <c r="AQ88" s="271"/>
      <c r="AR88" s="271"/>
      <c r="AS88" s="271"/>
      <c r="AT88" s="271"/>
      <c r="AU88" s="271"/>
      <c r="AV88" s="271"/>
      <c r="AW88" s="272"/>
      <c r="AX88" s="245"/>
      <c r="AY88" s="273">
        <v>0</v>
      </c>
      <c r="AZ88" s="274">
        <f t="shared" si="39"/>
        <v>0</v>
      </c>
      <c r="BA88" s="275">
        <v>0</v>
      </c>
      <c r="BB88" s="276" t="e">
        <f>IF($A88="S",VTOTAL,IF($A88=0,0,ROUND(SomaAgrup,arredtot)))</f>
        <v>#REF!</v>
      </c>
      <c r="BC88" s="277" t="e">
        <f t="shared" si="40"/>
        <v>#REF!</v>
      </c>
      <c r="BD88" s="278" t="e">
        <f>IF($A88="S",VTOTAL,IF($A88=0,0,ROUND(SomaAgrup,arredtot)))</f>
        <v>#REF!</v>
      </c>
      <c r="BF88" s="770" t="e">
        <f t="shared" si="41"/>
        <v>#REF!</v>
      </c>
      <c r="BG88" s="771"/>
      <c r="BH88" s="279" t="e">
        <f t="shared" si="42"/>
        <v>#REF!</v>
      </c>
      <c r="BI88" s="772" t="e">
        <f t="shared" si="43"/>
        <v>#REF!</v>
      </c>
      <c r="BJ88" s="773"/>
      <c r="BK88" s="774" t="e">
        <f>IF(BR88&gt;0,CHOOSE(MATCH(RegimeExecucao,{"Unitário","Global"},0),IF($A88="S",BR88/BN88,""),(BR88/BN88)*100),"")</f>
        <v>#REF!</v>
      </c>
      <c r="BL88" s="775"/>
      <c r="BM88" s="776"/>
      <c r="BN88" s="777" t="e">
        <f>IF(BR88&gt;0,CHOOSE(MATCH(RegimeExecucao,{"Unitário","Global"},0),IF($A88="S",ROUND(P88,arredunit),""),ROUND(R88,arredtot)),"")</f>
        <v>#REF!</v>
      </c>
      <c r="BO88" s="778"/>
      <c r="BP88" s="778"/>
      <c r="BQ88" s="779"/>
      <c r="BR88" s="777" t="e">
        <f t="shared" si="27"/>
        <v>#REF!</v>
      </c>
      <c r="BS88" s="778"/>
      <c r="BT88" s="778"/>
      <c r="BU88" s="779"/>
      <c r="BV88" s="780"/>
      <c r="BW88" s="780"/>
      <c r="BX88" s="780"/>
      <c r="BY88" s="780"/>
      <c r="BZ88" s="780"/>
      <c r="CA88" s="781"/>
      <c r="CB88" s="245"/>
      <c r="CC88" s="245"/>
    </row>
    <row r="89" spans="1:81" s="222" customFormat="1" ht="44.4" customHeight="1">
      <c r="A89" s="222" t="str">
        <f t="shared" si="36"/>
        <v>S</v>
      </c>
      <c r="B89" s="222">
        <f t="shared" si="37"/>
        <v>0</v>
      </c>
      <c r="C89" s="222">
        <f t="shared" ca="1" si="28"/>
        <v>11</v>
      </c>
      <c r="D89" s="222">
        <f t="shared" ca="1" si="29"/>
        <v>0</v>
      </c>
      <c r="E89" s="222">
        <f t="shared" ca="1" si="30"/>
        <v>0</v>
      </c>
      <c r="F89" s="222">
        <f t="shared" ca="1" si="31"/>
        <v>0</v>
      </c>
      <c r="G89" s="222">
        <f t="shared" ca="1" si="32"/>
        <v>9</v>
      </c>
      <c r="H89" s="222">
        <f t="shared" ca="1" si="33"/>
        <v>0</v>
      </c>
      <c r="I89" s="222">
        <f t="shared" ca="1" si="34"/>
        <v>0</v>
      </c>
      <c r="J89" s="222">
        <f t="shared" si="35"/>
        <v>1</v>
      </c>
      <c r="K89" s="269" t="s">
        <v>4</v>
      </c>
      <c r="L89" s="336" t="s">
        <v>175</v>
      </c>
      <c r="M89" s="325" t="s">
        <v>176</v>
      </c>
      <c r="N89" s="326" t="s">
        <v>93</v>
      </c>
      <c r="O89" s="327">
        <v>3</v>
      </c>
      <c r="P89" s="328">
        <v>159.63999999999999</v>
      </c>
      <c r="Q89" s="329">
        <f t="shared" si="38"/>
        <v>0</v>
      </c>
      <c r="R89" s="330">
        <f t="shared" si="44"/>
        <v>478.91999999999996</v>
      </c>
      <c r="S89" s="331">
        <f t="shared" si="45"/>
        <v>0</v>
      </c>
      <c r="T89" s="337">
        <f t="shared" si="46"/>
        <v>0</v>
      </c>
      <c r="U89" s="332">
        <f t="shared" si="47"/>
        <v>0</v>
      </c>
      <c r="V89" s="338">
        <f t="shared" si="48"/>
        <v>0</v>
      </c>
      <c r="W89" s="339">
        <f t="shared" si="49"/>
        <v>0</v>
      </c>
      <c r="X89" s="340">
        <f t="shared" si="50"/>
        <v>0</v>
      </c>
      <c r="Y89" s="333"/>
      <c r="Z89" s="334"/>
      <c r="AA89" s="328"/>
      <c r="AB89" s="328"/>
      <c r="AC89" s="328"/>
      <c r="AD89" s="328"/>
      <c r="AE89" s="328"/>
      <c r="AF89" s="328"/>
      <c r="AG89" s="328"/>
      <c r="AH89" s="328"/>
      <c r="AI89" s="328"/>
      <c r="AJ89" s="328"/>
      <c r="AK89" s="335"/>
      <c r="AL89" s="334"/>
      <c r="AM89" s="328"/>
      <c r="AN89" s="328"/>
      <c r="AO89" s="328"/>
      <c r="AP89" s="328"/>
      <c r="AQ89" s="271"/>
      <c r="AR89" s="271"/>
      <c r="AS89" s="271"/>
      <c r="AT89" s="271"/>
      <c r="AU89" s="271"/>
      <c r="AV89" s="271"/>
      <c r="AW89" s="272"/>
      <c r="AX89" s="245"/>
      <c r="AY89" s="273">
        <v>0</v>
      </c>
      <c r="AZ89" s="274">
        <f t="shared" si="39"/>
        <v>0</v>
      </c>
      <c r="BA89" s="275">
        <v>0</v>
      </c>
      <c r="BB89" s="276" t="e">
        <f>IF($A89="S",VTOTAL,IF($A89=0,0,ROUND(SomaAgrup,arredtot)))</f>
        <v>#REF!</v>
      </c>
      <c r="BC89" s="277" t="e">
        <f t="shared" si="40"/>
        <v>#REF!</v>
      </c>
      <c r="BD89" s="278" t="e">
        <f>IF($A89="S",VTOTAL,IF($A89=0,0,ROUND(SomaAgrup,arredtot)))</f>
        <v>#REF!</v>
      </c>
      <c r="BF89" s="770" t="e">
        <f t="shared" si="41"/>
        <v>#REF!</v>
      </c>
      <c r="BG89" s="771"/>
      <c r="BH89" s="279" t="e">
        <f t="shared" si="42"/>
        <v>#REF!</v>
      </c>
      <c r="BI89" s="772" t="e">
        <f t="shared" si="43"/>
        <v>#REF!</v>
      </c>
      <c r="BJ89" s="773"/>
      <c r="BK89" s="774" t="e">
        <f>IF(BR89&gt;0,CHOOSE(MATCH(RegimeExecucao,{"Unitário","Global"},0),IF($A89="S",BR89/BN89,""),(BR89/BN89)*100),"")</f>
        <v>#REF!</v>
      </c>
      <c r="BL89" s="775"/>
      <c r="BM89" s="776"/>
      <c r="BN89" s="777" t="e">
        <f>IF(BR89&gt;0,CHOOSE(MATCH(RegimeExecucao,{"Unitário","Global"},0),IF($A89="S",ROUND(P89,arredunit),""),ROUND(R89,arredtot)),"")</f>
        <v>#REF!</v>
      </c>
      <c r="BO89" s="778"/>
      <c r="BP89" s="778"/>
      <c r="BQ89" s="779"/>
      <c r="BR89" s="777" t="e">
        <f t="shared" si="27"/>
        <v>#REF!</v>
      </c>
      <c r="BS89" s="778"/>
      <c r="BT89" s="778"/>
      <c r="BU89" s="779"/>
      <c r="BV89" s="780"/>
      <c r="BW89" s="780"/>
      <c r="BX89" s="780"/>
      <c r="BY89" s="780"/>
      <c r="BZ89" s="780"/>
      <c r="CA89" s="781"/>
      <c r="CB89" s="245"/>
      <c r="CC89" s="245"/>
    </row>
    <row r="90" spans="1:81" s="222" customFormat="1" ht="15.6" customHeight="1">
      <c r="A90" s="222">
        <f t="shared" si="36"/>
        <v>1</v>
      </c>
      <c r="B90" s="222">
        <f t="shared" ca="1" si="37"/>
        <v>2</v>
      </c>
      <c r="C90" s="222">
        <f t="shared" ca="1" si="28"/>
        <v>12</v>
      </c>
      <c r="D90" s="222">
        <f t="shared" ca="1" si="29"/>
        <v>0</v>
      </c>
      <c r="E90" s="222">
        <f t="shared" ca="1" si="30"/>
        <v>0</v>
      </c>
      <c r="F90" s="222">
        <f t="shared" ca="1" si="31"/>
        <v>0</v>
      </c>
      <c r="G90" s="222">
        <f t="shared" ca="1" si="32"/>
        <v>0</v>
      </c>
      <c r="H90" s="222">
        <f t="shared" ca="1" si="33"/>
        <v>6</v>
      </c>
      <c r="I90" s="222">
        <f t="shared" ca="1" si="34"/>
        <v>2</v>
      </c>
      <c r="J90" s="222">
        <f t="shared" si="35"/>
        <v>0</v>
      </c>
      <c r="K90" s="269" t="str">
        <f>CHOOSE(1+LOG(1+2*($J90=3)+4*($J90=2)+8*($J90=1)+16*(AND($L90&lt;&gt;"",$L90&lt;&gt;0,$J90=0))+32*OR($N90&lt;&gt;"",RegimeExecucao="Global",AND($L90="",$M90="",$N90="")),2),"","Nível 4","Nível 3","Nível 2","Meta","Serviço")</f>
        <v>Meta</v>
      </c>
      <c r="L90" s="324">
        <v>12</v>
      </c>
      <c r="M90" s="325" t="s">
        <v>177</v>
      </c>
      <c r="N90" s="326"/>
      <c r="O90" s="327"/>
      <c r="P90" s="328"/>
      <c r="Q90" s="329">
        <f t="shared" si="38"/>
        <v>14838.84</v>
      </c>
      <c r="R90" s="330">
        <f>R91</f>
        <v>14838.84</v>
      </c>
      <c r="S90" s="331">
        <f t="shared" si="45"/>
        <v>0</v>
      </c>
      <c r="T90" s="337">
        <f t="shared" si="46"/>
        <v>0</v>
      </c>
      <c r="U90" s="332">
        <f t="shared" si="47"/>
        <v>0</v>
      </c>
      <c r="V90" s="338">
        <f t="shared" si="48"/>
        <v>14838.84</v>
      </c>
      <c r="W90" s="339">
        <f>W91</f>
        <v>0</v>
      </c>
      <c r="X90" s="340">
        <f t="shared" si="50"/>
        <v>14838.84</v>
      </c>
      <c r="Y90" s="333"/>
      <c r="Z90" s="334"/>
      <c r="AA90" s="328"/>
      <c r="AB90" s="328"/>
      <c r="AC90" s="328"/>
      <c r="AD90" s="328"/>
      <c r="AE90" s="328"/>
      <c r="AF90" s="328"/>
      <c r="AG90" s="328"/>
      <c r="AH90" s="328"/>
      <c r="AI90" s="328"/>
      <c r="AJ90" s="328"/>
      <c r="AK90" s="335"/>
      <c r="AL90" s="334"/>
      <c r="AM90" s="328"/>
      <c r="AN90" s="328"/>
      <c r="AO90" s="328"/>
      <c r="AP90" s="328"/>
      <c r="AQ90" s="271"/>
      <c r="AR90" s="271"/>
      <c r="AS90" s="271"/>
      <c r="AT90" s="271"/>
      <c r="AU90" s="271"/>
      <c r="AV90" s="271"/>
      <c r="AW90" s="272"/>
      <c r="AX90" s="245"/>
      <c r="AY90" s="273">
        <v>0</v>
      </c>
      <c r="AZ90" s="274">
        <f t="shared" si="39"/>
        <v>0</v>
      </c>
      <c r="BA90" s="275">
        <v>0</v>
      </c>
      <c r="BB90" s="276" t="e">
        <f ca="1">IF($A90="S",VTOTAL,IF($A90=0,0,ROUND(SomaAgrup,arredtot)))</f>
        <v>#REF!</v>
      </c>
      <c r="BC90" s="277" t="e">
        <f t="shared" ca="1" si="40"/>
        <v>#REF!</v>
      </c>
      <c r="BD90" s="278" t="e">
        <f ca="1">IF($A90="S",VTOTAL,IF($A90=0,0,ROUND(SomaAgrup,arredtot)))</f>
        <v>#REF!</v>
      </c>
      <c r="BF90" s="770" t="e">
        <f t="shared" ca="1" si="41"/>
        <v>#REF!</v>
      </c>
      <c r="BG90" s="771"/>
      <c r="BH90" s="279" t="e">
        <f t="shared" ca="1" si="42"/>
        <v>#REF!</v>
      </c>
      <c r="BI90" s="772" t="e">
        <f t="shared" ca="1" si="43"/>
        <v>#REF!</v>
      </c>
      <c r="BJ90" s="773"/>
      <c r="BK90" s="774" t="e">
        <f ca="1">IF(BR90&gt;0,CHOOSE(MATCH(RegimeExecucao,{"Unitário","Global"},0),IF($A90="S",BR90/BN90,""),(BR90/BN90)*100),"")</f>
        <v>#REF!</v>
      </c>
      <c r="BL90" s="775"/>
      <c r="BM90" s="776"/>
      <c r="BN90" s="777" t="e">
        <f ca="1">IF(BR90&gt;0,CHOOSE(MATCH(RegimeExecucao,{"Unitário","Global"},0),IF($A90="S",ROUND(P90,arredunit),""),ROUND(R90,arredtot)),"")</f>
        <v>#REF!</v>
      </c>
      <c r="BO90" s="778"/>
      <c r="BP90" s="778"/>
      <c r="BQ90" s="779"/>
      <c r="BR90" s="777" t="e">
        <f t="shared" ca="1" si="27"/>
        <v>#REF!</v>
      </c>
      <c r="BS90" s="778"/>
      <c r="BT90" s="778"/>
      <c r="BU90" s="779"/>
      <c r="BV90" s="780"/>
      <c r="BW90" s="780"/>
      <c r="BX90" s="780"/>
      <c r="BY90" s="780"/>
      <c r="BZ90" s="780"/>
      <c r="CA90" s="781"/>
      <c r="CB90" s="245"/>
      <c r="CC90" s="245"/>
    </row>
    <row r="91" spans="1:81" s="222" customFormat="1" ht="73.2" customHeight="1">
      <c r="A91" s="222" t="str">
        <f t="shared" si="36"/>
        <v>S</v>
      </c>
      <c r="B91" s="222">
        <f t="shared" si="37"/>
        <v>0</v>
      </c>
      <c r="C91" s="222">
        <f t="shared" ca="1" si="28"/>
        <v>12</v>
      </c>
      <c r="D91" s="222">
        <f t="shared" ca="1" si="29"/>
        <v>0</v>
      </c>
      <c r="E91" s="222">
        <f t="shared" ca="1" si="30"/>
        <v>0</v>
      </c>
      <c r="F91" s="222">
        <f t="shared" ca="1" si="31"/>
        <v>0</v>
      </c>
      <c r="G91" s="222">
        <f t="shared" ca="1" si="32"/>
        <v>1</v>
      </c>
      <c r="H91" s="222">
        <f t="shared" ca="1" si="33"/>
        <v>0</v>
      </c>
      <c r="I91" s="222">
        <f t="shared" ca="1" si="34"/>
        <v>0</v>
      </c>
      <c r="J91" s="222">
        <f t="shared" si="35"/>
        <v>1</v>
      </c>
      <c r="K91" s="269" t="s">
        <v>4</v>
      </c>
      <c r="L91" s="336" t="s">
        <v>178</v>
      </c>
      <c r="M91" s="325" t="s">
        <v>179</v>
      </c>
      <c r="N91" s="326" t="s">
        <v>59</v>
      </c>
      <c r="O91" s="327">
        <v>35.300314016557238</v>
      </c>
      <c r="P91" s="328">
        <v>420.36</v>
      </c>
      <c r="Q91" s="329">
        <f t="shared" si="38"/>
        <v>0</v>
      </c>
      <c r="R91" s="330">
        <f t="shared" si="44"/>
        <v>14838.84</v>
      </c>
      <c r="S91" s="331">
        <f t="shared" si="45"/>
        <v>0</v>
      </c>
      <c r="T91" s="337">
        <f t="shared" si="46"/>
        <v>0</v>
      </c>
      <c r="U91" s="332">
        <f t="shared" si="47"/>
        <v>0</v>
      </c>
      <c r="V91" s="338">
        <f t="shared" si="48"/>
        <v>0</v>
      </c>
      <c r="W91" s="339">
        <f t="shared" si="49"/>
        <v>0</v>
      </c>
      <c r="X91" s="340">
        <f t="shared" si="50"/>
        <v>0</v>
      </c>
      <c r="Y91" s="333"/>
      <c r="Z91" s="334"/>
      <c r="AA91" s="328"/>
      <c r="AB91" s="328"/>
      <c r="AC91" s="328"/>
      <c r="AD91" s="328"/>
      <c r="AE91" s="328"/>
      <c r="AF91" s="328"/>
      <c r="AG91" s="328"/>
      <c r="AH91" s="328"/>
      <c r="AI91" s="328"/>
      <c r="AJ91" s="328"/>
      <c r="AK91" s="335"/>
      <c r="AL91" s="334"/>
      <c r="AM91" s="328"/>
      <c r="AN91" s="328"/>
      <c r="AO91" s="328"/>
      <c r="AP91" s="328"/>
      <c r="AQ91" s="271"/>
      <c r="AR91" s="271"/>
      <c r="AS91" s="271"/>
      <c r="AT91" s="271"/>
      <c r="AU91" s="271"/>
      <c r="AV91" s="271"/>
      <c r="AW91" s="272"/>
      <c r="AX91" s="245"/>
      <c r="AY91" s="273">
        <v>0</v>
      </c>
      <c r="AZ91" s="274">
        <f t="shared" si="39"/>
        <v>0</v>
      </c>
      <c r="BA91" s="275">
        <v>0</v>
      </c>
      <c r="BB91" s="276" t="e">
        <f>IF($A91="S",VTOTAL,IF($A91=0,0,ROUND(SomaAgrup,arredtot)))</f>
        <v>#REF!</v>
      </c>
      <c r="BC91" s="277" t="e">
        <f t="shared" si="40"/>
        <v>#REF!</v>
      </c>
      <c r="BD91" s="278" t="e">
        <f>IF($A91="S",VTOTAL,IF($A91=0,0,ROUND(SomaAgrup,arredtot)))</f>
        <v>#REF!</v>
      </c>
      <c r="BF91" s="770" t="e">
        <f t="shared" si="41"/>
        <v>#REF!</v>
      </c>
      <c r="BG91" s="771"/>
      <c r="BH91" s="279" t="e">
        <f t="shared" si="42"/>
        <v>#REF!</v>
      </c>
      <c r="BI91" s="772" t="e">
        <f t="shared" si="43"/>
        <v>#REF!</v>
      </c>
      <c r="BJ91" s="773"/>
      <c r="BK91" s="774" t="e">
        <f>IF(BR91&gt;0,CHOOSE(MATCH(RegimeExecucao,{"Unitário","Global"},0),IF($A91="S",BR91/BN91,""),(BR91/BN91)*100),"")</f>
        <v>#REF!</v>
      </c>
      <c r="BL91" s="775"/>
      <c r="BM91" s="776"/>
      <c r="BN91" s="777" t="e">
        <f>IF(BR91&gt;0,CHOOSE(MATCH(RegimeExecucao,{"Unitário","Global"},0),IF($A91="S",ROUND(P91,arredunit),""),ROUND(R91,arredtot)),"")</f>
        <v>#REF!</v>
      </c>
      <c r="BO91" s="778"/>
      <c r="BP91" s="778"/>
      <c r="BQ91" s="779"/>
      <c r="BR91" s="777" t="e">
        <f t="shared" si="27"/>
        <v>#REF!</v>
      </c>
      <c r="BS91" s="778"/>
      <c r="BT91" s="778"/>
      <c r="BU91" s="779"/>
      <c r="BV91" s="780"/>
      <c r="BW91" s="780"/>
      <c r="BX91" s="780"/>
      <c r="BY91" s="780"/>
      <c r="BZ91" s="780"/>
      <c r="CA91" s="781"/>
      <c r="CB91" s="245"/>
      <c r="CC91" s="245"/>
    </row>
    <row r="92" spans="1:81" s="222" customFormat="1" ht="16.2" customHeight="1">
      <c r="A92" s="222">
        <f t="shared" si="36"/>
        <v>1</v>
      </c>
      <c r="B92" s="222">
        <f t="shared" ca="1" si="37"/>
        <v>4</v>
      </c>
      <c r="C92" s="222">
        <f t="shared" ca="1" si="28"/>
        <v>13</v>
      </c>
      <c r="D92" s="222">
        <f t="shared" ca="1" si="29"/>
        <v>0</v>
      </c>
      <c r="E92" s="222">
        <f t="shared" ca="1" si="30"/>
        <v>0</v>
      </c>
      <c r="F92" s="222">
        <f t="shared" ca="1" si="31"/>
        <v>0</v>
      </c>
      <c r="G92" s="222">
        <f t="shared" ca="1" si="32"/>
        <v>0</v>
      </c>
      <c r="H92" s="222">
        <f t="shared" ca="1" si="33"/>
        <v>4</v>
      </c>
      <c r="I92" s="222" t="e">
        <f t="shared" ca="1" si="34"/>
        <v>#N/A</v>
      </c>
      <c r="J92" s="222">
        <f t="shared" si="35"/>
        <v>0</v>
      </c>
      <c r="K92" s="269" t="str">
        <f>CHOOSE(1+LOG(1+2*($J92=3)+4*($J92=2)+8*($J92=1)+16*(AND($L92&lt;&gt;"",$L92&lt;&gt;0,$J92=0))+32*OR($N92&lt;&gt;"",RegimeExecucao="Global",AND($L92="",$M92="",$N92="")),2),"","Nível 4","Nível 3","Nível 2","Meta","Serviço")</f>
        <v>Meta</v>
      </c>
      <c r="L92" s="324">
        <v>13</v>
      </c>
      <c r="M92" s="325" t="s">
        <v>180</v>
      </c>
      <c r="N92" s="326"/>
      <c r="O92" s="327"/>
      <c r="P92" s="328"/>
      <c r="Q92" s="329">
        <f t="shared" si="38"/>
        <v>1011.7300000000002</v>
      </c>
      <c r="R92" s="330">
        <f>SUM(R93:R95)</f>
        <v>1011.7300000000002</v>
      </c>
      <c r="S92" s="331">
        <f t="shared" si="45"/>
        <v>0</v>
      </c>
      <c r="T92" s="337">
        <f t="shared" si="46"/>
        <v>0</v>
      </c>
      <c r="U92" s="332">
        <f t="shared" si="47"/>
        <v>0</v>
      </c>
      <c r="V92" s="338">
        <f t="shared" si="48"/>
        <v>1011.7300000000002</v>
      </c>
      <c r="W92" s="339">
        <f>SUM(W93:W95)</f>
        <v>0</v>
      </c>
      <c r="X92" s="340">
        <f t="shared" si="50"/>
        <v>1011.7300000000002</v>
      </c>
      <c r="Y92" s="333"/>
      <c r="Z92" s="334"/>
      <c r="AA92" s="328"/>
      <c r="AB92" s="328"/>
      <c r="AC92" s="328"/>
      <c r="AD92" s="328"/>
      <c r="AE92" s="328"/>
      <c r="AF92" s="328"/>
      <c r="AG92" s="328"/>
      <c r="AH92" s="328"/>
      <c r="AI92" s="328"/>
      <c r="AJ92" s="328"/>
      <c r="AK92" s="335"/>
      <c r="AL92" s="334"/>
      <c r="AM92" s="328"/>
      <c r="AN92" s="328"/>
      <c r="AO92" s="328"/>
      <c r="AP92" s="328"/>
      <c r="AQ92" s="271"/>
      <c r="AR92" s="271"/>
      <c r="AS92" s="271"/>
      <c r="AT92" s="271"/>
      <c r="AU92" s="271"/>
      <c r="AV92" s="271"/>
      <c r="AW92" s="272"/>
      <c r="AX92" s="245"/>
      <c r="AY92" s="273">
        <v>0</v>
      </c>
      <c r="AZ92" s="274">
        <f t="shared" si="39"/>
        <v>0</v>
      </c>
      <c r="BA92" s="275">
        <v>0</v>
      </c>
      <c r="BB92" s="276" t="e">
        <f ca="1">IF($A92="S",VTOTAL,IF($A92=0,0,ROUND(SomaAgrup,arredtot)))</f>
        <v>#REF!</v>
      </c>
      <c r="BC92" s="277" t="e">
        <f t="shared" ca="1" si="40"/>
        <v>#REF!</v>
      </c>
      <c r="BD92" s="278" t="e">
        <f ca="1">IF($A92="S",VTOTAL,IF($A92=0,0,ROUND(SomaAgrup,arredtot)))</f>
        <v>#REF!</v>
      </c>
      <c r="BF92" s="770" t="e">
        <f t="shared" ca="1" si="41"/>
        <v>#REF!</v>
      </c>
      <c r="BG92" s="771"/>
      <c r="BH92" s="279" t="e">
        <f t="shared" ca="1" si="42"/>
        <v>#REF!</v>
      </c>
      <c r="BI92" s="772" t="e">
        <f t="shared" ca="1" si="43"/>
        <v>#REF!</v>
      </c>
      <c r="BJ92" s="773"/>
      <c r="BK92" s="774" t="e">
        <f ca="1">IF(BR92&gt;0,CHOOSE(MATCH(RegimeExecucao,{"Unitário","Global"},0),IF($A92="S",BR92/BN92,""),(BR92/BN92)*100),"")</f>
        <v>#REF!</v>
      </c>
      <c r="BL92" s="775"/>
      <c r="BM92" s="776"/>
      <c r="BN92" s="777" t="e">
        <f ca="1">IF(BR92&gt;0,CHOOSE(MATCH(RegimeExecucao,{"Unitário","Global"},0),IF($A92="S",ROUND(P92,arredunit),""),ROUND(R92,arredtot)),"")</f>
        <v>#REF!</v>
      </c>
      <c r="BO92" s="778"/>
      <c r="BP92" s="778"/>
      <c r="BQ92" s="779"/>
      <c r="BR92" s="777" t="e">
        <f t="shared" ca="1" si="27"/>
        <v>#REF!</v>
      </c>
      <c r="BS92" s="778"/>
      <c r="BT92" s="778"/>
      <c r="BU92" s="779"/>
      <c r="BV92" s="780"/>
      <c r="BW92" s="780"/>
      <c r="BX92" s="780"/>
      <c r="BY92" s="780"/>
      <c r="BZ92" s="780"/>
      <c r="CA92" s="781"/>
      <c r="CB92" s="245"/>
      <c r="CC92" s="245"/>
    </row>
    <row r="93" spans="1:81" s="222" customFormat="1" ht="29.4" customHeight="1">
      <c r="A93" s="222" t="str">
        <f t="shared" si="36"/>
        <v>S</v>
      </c>
      <c r="B93" s="222">
        <f t="shared" si="37"/>
        <v>0</v>
      </c>
      <c r="C93" s="222">
        <f t="shared" ca="1" si="28"/>
        <v>13</v>
      </c>
      <c r="D93" s="222">
        <f t="shared" ca="1" si="29"/>
        <v>0</v>
      </c>
      <c r="E93" s="222">
        <f t="shared" ca="1" si="30"/>
        <v>0</v>
      </c>
      <c r="F93" s="222">
        <f t="shared" ca="1" si="31"/>
        <v>0</v>
      </c>
      <c r="G93" s="222">
        <f t="shared" ca="1" si="32"/>
        <v>1</v>
      </c>
      <c r="H93" s="222">
        <f t="shared" ca="1" si="33"/>
        <v>0</v>
      </c>
      <c r="I93" s="222">
        <f t="shared" ca="1" si="34"/>
        <v>0</v>
      </c>
      <c r="J93" s="222">
        <f t="shared" si="35"/>
        <v>1</v>
      </c>
      <c r="K93" s="269" t="s">
        <v>4</v>
      </c>
      <c r="L93" s="336" t="s">
        <v>181</v>
      </c>
      <c r="M93" s="325" t="s">
        <v>182</v>
      </c>
      <c r="N93" s="326" t="s">
        <v>49</v>
      </c>
      <c r="O93" s="327">
        <v>22.001917913310322</v>
      </c>
      <c r="P93" s="328">
        <v>26.07</v>
      </c>
      <c r="Q93" s="329">
        <f t="shared" si="38"/>
        <v>0</v>
      </c>
      <c r="R93" s="330">
        <f t="shared" si="44"/>
        <v>573.59000000000015</v>
      </c>
      <c r="S93" s="331">
        <f t="shared" si="45"/>
        <v>22.001917913310322</v>
      </c>
      <c r="T93" s="337">
        <f t="shared" si="46"/>
        <v>0</v>
      </c>
      <c r="U93" s="332">
        <f t="shared" si="47"/>
        <v>22.001917913310322</v>
      </c>
      <c r="V93" s="338">
        <f t="shared" si="48"/>
        <v>573.59000000000015</v>
      </c>
      <c r="W93" s="339">
        <f t="shared" si="49"/>
        <v>0</v>
      </c>
      <c r="X93" s="340">
        <f t="shared" si="50"/>
        <v>573.59000000000015</v>
      </c>
      <c r="Y93" s="333"/>
      <c r="Z93" s="334">
        <v>1</v>
      </c>
      <c r="AA93" s="328">
        <f>O93-Z93</f>
        <v>21.001917913310322</v>
      </c>
      <c r="AB93" s="328"/>
      <c r="AC93" s="328"/>
      <c r="AD93" s="328"/>
      <c r="AE93" s="328"/>
      <c r="AF93" s="328"/>
      <c r="AG93" s="328"/>
      <c r="AH93" s="328"/>
      <c r="AI93" s="328"/>
      <c r="AJ93" s="328"/>
      <c r="AK93" s="335"/>
      <c r="AL93" s="334"/>
      <c r="AM93" s="328"/>
      <c r="AN93" s="328"/>
      <c r="AO93" s="328"/>
      <c r="AP93" s="328"/>
      <c r="AQ93" s="271"/>
      <c r="AR93" s="271"/>
      <c r="AS93" s="271"/>
      <c r="AT93" s="271"/>
      <c r="AU93" s="271"/>
      <c r="AV93" s="271"/>
      <c r="AW93" s="272"/>
      <c r="AX93" s="245"/>
      <c r="AY93" s="273">
        <v>0</v>
      </c>
      <c r="AZ93" s="274">
        <f t="shared" si="39"/>
        <v>0</v>
      </c>
      <c r="BA93" s="275">
        <v>0</v>
      </c>
      <c r="BB93" s="276" t="e">
        <f>IF($A93="S",VTOTAL,IF($A93=0,0,ROUND(SomaAgrup,arredtot)))</f>
        <v>#REF!</v>
      </c>
      <c r="BC93" s="277" t="e">
        <f t="shared" si="40"/>
        <v>#REF!</v>
      </c>
      <c r="BD93" s="278" t="e">
        <f>IF($A93="S",VTOTAL,IF($A93=0,0,ROUND(SomaAgrup,arredtot)))</f>
        <v>#REF!</v>
      </c>
      <c r="BF93" s="770" t="e">
        <f t="shared" si="41"/>
        <v>#REF!</v>
      </c>
      <c r="BG93" s="771"/>
      <c r="BH93" s="279" t="e">
        <f t="shared" si="42"/>
        <v>#REF!</v>
      </c>
      <c r="BI93" s="772" t="e">
        <f t="shared" si="43"/>
        <v>#REF!</v>
      </c>
      <c r="BJ93" s="773"/>
      <c r="BK93" s="774" t="e">
        <f>IF(BR93&gt;0,CHOOSE(MATCH(RegimeExecucao,{"Unitário","Global"},0),IF($A93="S",BR93/BN93,""),(BR93/BN93)*100),"")</f>
        <v>#REF!</v>
      </c>
      <c r="BL93" s="775"/>
      <c r="BM93" s="776"/>
      <c r="BN93" s="777" t="e">
        <f>IF(BR93&gt;0,CHOOSE(MATCH(RegimeExecucao,{"Unitário","Global"},0),IF($A93="S",ROUND(P93,arredunit),""),ROUND(R93,arredtot)),"")</f>
        <v>#REF!</v>
      </c>
      <c r="BO93" s="778"/>
      <c r="BP93" s="778"/>
      <c r="BQ93" s="779"/>
      <c r="BR93" s="777" t="e">
        <f t="shared" si="27"/>
        <v>#REF!</v>
      </c>
      <c r="BS93" s="778"/>
      <c r="BT93" s="778"/>
      <c r="BU93" s="779"/>
      <c r="BV93" s="780"/>
      <c r="BW93" s="780"/>
      <c r="BX93" s="780"/>
      <c r="BY93" s="780"/>
      <c r="BZ93" s="780"/>
      <c r="CA93" s="781"/>
      <c r="CB93" s="245"/>
      <c r="CC93" s="245"/>
    </row>
    <row r="94" spans="1:81" s="222" customFormat="1" ht="31.2" customHeight="1">
      <c r="A94" s="222" t="str">
        <f t="shared" si="36"/>
        <v>S</v>
      </c>
      <c r="B94" s="222">
        <f t="shared" si="37"/>
        <v>0</v>
      </c>
      <c r="C94" s="222">
        <f t="shared" ca="1" si="28"/>
        <v>13</v>
      </c>
      <c r="D94" s="222">
        <f t="shared" ca="1" si="29"/>
        <v>0</v>
      </c>
      <c r="E94" s="222">
        <f t="shared" ca="1" si="30"/>
        <v>0</v>
      </c>
      <c r="F94" s="222">
        <f t="shared" ca="1" si="31"/>
        <v>0</v>
      </c>
      <c r="G94" s="222">
        <f t="shared" ca="1" si="32"/>
        <v>2</v>
      </c>
      <c r="H94" s="222">
        <f t="shared" ca="1" si="33"/>
        <v>0</v>
      </c>
      <c r="I94" s="222">
        <f t="shared" ca="1" si="34"/>
        <v>0</v>
      </c>
      <c r="J94" s="222">
        <f t="shared" si="35"/>
        <v>1</v>
      </c>
      <c r="K94" s="269" t="s">
        <v>4</v>
      </c>
      <c r="L94" s="336" t="s">
        <v>183</v>
      </c>
      <c r="M94" s="325" t="s">
        <v>184</v>
      </c>
      <c r="N94" s="326" t="s">
        <v>49</v>
      </c>
      <c r="O94" s="327">
        <v>22</v>
      </c>
      <c r="P94" s="328">
        <v>6.5259090909090913</v>
      </c>
      <c r="Q94" s="329">
        <f t="shared" si="38"/>
        <v>0</v>
      </c>
      <c r="R94" s="330">
        <f t="shared" si="44"/>
        <v>143.57000000000002</v>
      </c>
      <c r="S94" s="331">
        <f t="shared" si="45"/>
        <v>22</v>
      </c>
      <c r="T94" s="337">
        <f t="shared" si="46"/>
        <v>0</v>
      </c>
      <c r="U94" s="332">
        <f t="shared" si="47"/>
        <v>22</v>
      </c>
      <c r="V94" s="338">
        <f t="shared" si="48"/>
        <v>143.57000000000002</v>
      </c>
      <c r="W94" s="339">
        <f t="shared" si="49"/>
        <v>0</v>
      </c>
      <c r="X94" s="340">
        <f t="shared" si="50"/>
        <v>143.57000000000002</v>
      </c>
      <c r="Y94" s="333"/>
      <c r="Z94" s="334">
        <v>1</v>
      </c>
      <c r="AA94" s="328">
        <v>21</v>
      </c>
      <c r="AB94" s="328"/>
      <c r="AC94" s="328"/>
      <c r="AD94" s="328"/>
      <c r="AE94" s="328"/>
      <c r="AF94" s="328"/>
      <c r="AG94" s="328"/>
      <c r="AH94" s="328"/>
      <c r="AI94" s="328"/>
      <c r="AJ94" s="328"/>
      <c r="AK94" s="335"/>
      <c r="AL94" s="334"/>
      <c r="AM94" s="328"/>
      <c r="AN94" s="328"/>
      <c r="AO94" s="328"/>
      <c r="AP94" s="328"/>
      <c r="AQ94" s="271"/>
      <c r="AR94" s="271"/>
      <c r="AS94" s="271"/>
      <c r="AT94" s="271"/>
      <c r="AU94" s="271"/>
      <c r="AV94" s="271"/>
      <c r="AW94" s="272"/>
      <c r="AX94" s="245"/>
      <c r="AY94" s="273">
        <v>0</v>
      </c>
      <c r="AZ94" s="274">
        <f t="shared" si="39"/>
        <v>0</v>
      </c>
      <c r="BA94" s="275">
        <v>0</v>
      </c>
      <c r="BB94" s="276" t="e">
        <f>IF($A94="S",VTOTAL,IF($A94=0,0,ROUND(SomaAgrup,arredtot)))</f>
        <v>#REF!</v>
      </c>
      <c r="BC94" s="277" t="e">
        <f t="shared" si="40"/>
        <v>#REF!</v>
      </c>
      <c r="BD94" s="278" t="e">
        <f>IF($A94="S",VTOTAL,IF($A94=0,0,ROUND(SomaAgrup,arredtot)))</f>
        <v>#REF!</v>
      </c>
      <c r="BF94" s="770" t="e">
        <f t="shared" si="41"/>
        <v>#REF!</v>
      </c>
      <c r="BG94" s="771"/>
      <c r="BH94" s="279" t="e">
        <f t="shared" si="42"/>
        <v>#REF!</v>
      </c>
      <c r="BI94" s="772" t="e">
        <f t="shared" si="43"/>
        <v>#REF!</v>
      </c>
      <c r="BJ94" s="773"/>
      <c r="BK94" s="774" t="e">
        <f>IF(BR94&gt;0,CHOOSE(MATCH(RegimeExecucao,{"Unitário","Global"},0),IF($A94="S",BR94/BN94,""),(BR94/BN94)*100),"")</f>
        <v>#REF!</v>
      </c>
      <c r="BL94" s="775"/>
      <c r="BM94" s="776"/>
      <c r="BN94" s="777" t="e">
        <f>IF(BR94&gt;0,CHOOSE(MATCH(RegimeExecucao,{"Unitário","Global"},0),IF($A94="S",ROUND(P94,arredunit),""),ROUND(R94,arredtot)),"")</f>
        <v>#REF!</v>
      </c>
      <c r="BO94" s="778"/>
      <c r="BP94" s="778"/>
      <c r="BQ94" s="779"/>
      <c r="BR94" s="777" t="e">
        <f t="shared" si="27"/>
        <v>#REF!</v>
      </c>
      <c r="BS94" s="778"/>
      <c r="BT94" s="778"/>
      <c r="BU94" s="779"/>
      <c r="BV94" s="780"/>
      <c r="BW94" s="780"/>
      <c r="BX94" s="780"/>
      <c r="BY94" s="780"/>
      <c r="BZ94" s="780"/>
      <c r="CA94" s="781"/>
      <c r="CB94" s="245"/>
      <c r="CC94" s="245"/>
    </row>
    <row r="95" spans="1:81" s="222" customFormat="1" ht="16.8" customHeight="1">
      <c r="A95" s="222" t="str">
        <f>CHOOSE(1+LOG(1+2*(K95="Meta")+4*(K95="Nível 2")+8*(K95="Nível 3")+16*(K95="Nível 4")+32*(K95="Serviço"),2),0,1,2,3,4,"S")</f>
        <v>S</v>
      </c>
      <c r="B95" s="222">
        <f>IF(OR(A95="S",A95=0),0,IF(ISERROR(I95),H95,SMALL(H95:I95,1)))</f>
        <v>0</v>
      </c>
      <c r="C95" s="222">
        <f ca="1">IF($A95=1,OFFSET(C95,-1,0)+1,OFFSET(C95,-1,0))</f>
        <v>13</v>
      </c>
      <c r="D95" s="222">
        <f ca="1">IF($A95=1,0,IF($A95=2,OFFSET(D95,-1,0)+1,OFFSET(D95,-1,0)))</f>
        <v>0</v>
      </c>
      <c r="E95" s="222">
        <f ca="1">IF(AND($A95&lt;=2,$A95&lt;&gt;0),0,IF($A95=3,OFFSET(E95,-1,0)+1,OFFSET(E95,-1,0)))</f>
        <v>0</v>
      </c>
      <c r="F95" s="222">
        <f ca="1">IF(AND($A95&lt;=3,$A95&lt;&gt;0),0,IF($A95=4,OFFSET(F95,-1,0)+1,OFFSET(F95,-1,0)))</f>
        <v>0</v>
      </c>
      <c r="G95" s="222">
        <f ca="1">IF(AND($A95&lt;=4,$A95&lt;&gt;0),0,IF($A95="S",OFFSET(G95,-1,0)+1,OFFSET(G95,-1,0)))</f>
        <v>3</v>
      </c>
      <c r="H95" s="222">
        <f ca="1">IF(OR($A95="S",$A95=0),0,MATCH(0,OFFSET($B95,1,$A95,ROW($A$96)-ROW($A95)),0))</f>
        <v>0</v>
      </c>
      <c r="I95" s="222">
        <f ca="1">IF(OR($A95="S",$A95=0),0,MATCH(OFFSET($B95,0,$A95)+1,OFFSET($B95,1,$A95,ROW($A$96)-ROW($A95)),0))</f>
        <v>0</v>
      </c>
      <c r="J95" s="222">
        <f>LEN(LEFT($L95,LEN($L95)-1*(RIGHT($L95,1)=".")))-LEN(SUBSTITUTE(LEFT($L95,LEN($L95)-1*(RIGHT($L95,1)=".")),".",""))</f>
        <v>1</v>
      </c>
      <c r="K95" s="269" t="s">
        <v>4</v>
      </c>
      <c r="L95" s="336" t="s">
        <v>185</v>
      </c>
      <c r="M95" s="325" t="s">
        <v>186</v>
      </c>
      <c r="N95" s="326" t="s">
        <v>43</v>
      </c>
      <c r="O95" s="327">
        <v>26</v>
      </c>
      <c r="P95" s="328">
        <v>11.329615384615385</v>
      </c>
      <c r="Q95" s="329">
        <f>IF($A95="S",0,$R95)</f>
        <v>0</v>
      </c>
      <c r="R95" s="330">
        <f t="shared" si="44"/>
        <v>294.57</v>
      </c>
      <c r="S95" s="331">
        <f t="shared" si="45"/>
        <v>0</v>
      </c>
      <c r="T95" s="337">
        <f t="shared" si="46"/>
        <v>0</v>
      </c>
      <c r="U95" s="332">
        <f t="shared" si="47"/>
        <v>0</v>
      </c>
      <c r="V95" s="338">
        <f t="shared" si="48"/>
        <v>0</v>
      </c>
      <c r="W95" s="339">
        <f t="shared" si="49"/>
        <v>0</v>
      </c>
      <c r="X95" s="340">
        <f t="shared" si="50"/>
        <v>0</v>
      </c>
      <c r="Y95" s="333"/>
      <c r="Z95" s="334"/>
      <c r="AA95" s="328"/>
      <c r="AB95" s="328"/>
      <c r="AC95" s="328"/>
      <c r="AD95" s="328"/>
      <c r="AE95" s="328"/>
      <c r="AF95" s="328"/>
      <c r="AG95" s="328"/>
      <c r="AH95" s="328"/>
      <c r="AI95" s="328"/>
      <c r="AJ95" s="328"/>
      <c r="AK95" s="335"/>
      <c r="AL95" s="334"/>
      <c r="AM95" s="328"/>
      <c r="AN95" s="328"/>
      <c r="AO95" s="328"/>
      <c r="AP95" s="328"/>
      <c r="AQ95" s="271"/>
      <c r="AR95" s="271"/>
      <c r="AS95" s="271"/>
      <c r="AT95" s="271"/>
      <c r="AU95" s="271"/>
      <c r="AV95" s="271"/>
      <c r="AW95" s="272"/>
      <c r="AX95" s="245"/>
      <c r="AY95" s="273">
        <v>0</v>
      </c>
      <c r="AZ95" s="274">
        <f>BA95-AY95</f>
        <v>0</v>
      </c>
      <c r="BA95" s="275">
        <v>0</v>
      </c>
      <c r="BB95" s="276" t="e">
        <f>IF($A95="S",VTOTAL,IF($A95=0,0,ROUND(SomaAgrup,arredtot)))</f>
        <v>#REF!</v>
      </c>
      <c r="BC95" s="277" t="e">
        <f>BD95-BB95</f>
        <v>#REF!</v>
      </c>
      <c r="BD95" s="278" t="e">
        <f>IF($A95="S",VTOTAL,IF($A95=0,0,ROUND(SomaAgrup,arredtot)))</f>
        <v>#REF!</v>
      </c>
      <c r="BF95" s="770" t="e">
        <f>IF(BK95&gt;0,L95,"")</f>
        <v>#REF!</v>
      </c>
      <c r="BG95" s="771"/>
      <c r="BH95" s="279" t="e">
        <f>IF(BK95&gt;0,M95,"")</f>
        <v>#REF!</v>
      </c>
      <c r="BI95" s="772" t="e">
        <f>IF(BK95&gt;0,N95,"")</f>
        <v>#REF!</v>
      </c>
      <c r="BJ95" s="773"/>
      <c r="BK95" s="774" t="e">
        <f>IF(BR95&gt;0,CHOOSE(MATCH(RegimeExecucao,{"Unitário","Global"},0),IF($A95="S",BR95/BN95,""),(BR95/BN95)*100),"")</f>
        <v>#REF!</v>
      </c>
      <c r="BL95" s="775"/>
      <c r="BM95" s="776"/>
      <c r="BN95" s="777" t="e">
        <f>IF(BR95&gt;0,CHOOSE(MATCH(RegimeExecucao,{"Unitário","Global"},0),IF($A95="S",ROUND(P95,arredunit),""),ROUND(R95,arredtot)),"")</f>
        <v>#REF!</v>
      </c>
      <c r="BO95" s="778"/>
      <c r="BP95" s="778"/>
      <c r="BQ95" s="779"/>
      <c r="BR95" s="777" t="e">
        <f>$X95-$BD95</f>
        <v>#REF!</v>
      </c>
      <c r="BS95" s="778"/>
      <c r="BT95" s="778"/>
      <c r="BU95" s="779"/>
      <c r="BV95" s="780"/>
      <c r="BW95" s="780"/>
      <c r="BX95" s="780"/>
      <c r="BY95" s="780"/>
      <c r="BZ95" s="780"/>
      <c r="CA95" s="781"/>
      <c r="CB95" s="245"/>
      <c r="CC95" s="245"/>
    </row>
    <row r="96" spans="1:81" s="222" customFormat="1" ht="13.8">
      <c r="A96" s="222">
        <v>-1</v>
      </c>
      <c r="B96" s="222">
        <v>0</v>
      </c>
      <c r="C96" s="222">
        <v>0</v>
      </c>
      <c r="D96" s="222">
        <v>0</v>
      </c>
      <c r="E96" s="222">
        <v>0</v>
      </c>
      <c r="F96" s="222">
        <v>0</v>
      </c>
      <c r="G96" s="222">
        <v>0</v>
      </c>
      <c r="H96" s="270"/>
      <c r="I96" s="270"/>
      <c r="J96" s="270"/>
      <c r="K96" s="342"/>
      <c r="L96" s="342"/>
      <c r="M96" s="343"/>
      <c r="N96" s="344"/>
      <c r="O96" s="345"/>
      <c r="P96" s="344"/>
      <c r="Q96" s="344"/>
      <c r="R96" s="346"/>
      <c r="S96" s="344"/>
      <c r="T96" s="347"/>
      <c r="U96" s="348"/>
      <c r="V96" s="347"/>
      <c r="W96" s="344"/>
      <c r="X96" s="349"/>
      <c r="Y96" s="333"/>
      <c r="Z96" s="342"/>
      <c r="AA96" s="343"/>
      <c r="AB96" s="344"/>
      <c r="AC96" s="345"/>
      <c r="AD96" s="344"/>
      <c r="AE96" s="350"/>
      <c r="AF96" s="350"/>
      <c r="AG96" s="351"/>
      <c r="AH96" s="351"/>
      <c r="AI96" s="351"/>
      <c r="AJ96" s="344"/>
      <c r="AK96" s="349"/>
      <c r="AL96" s="342"/>
      <c r="AM96" s="343"/>
      <c r="AN96" s="344"/>
      <c r="AO96" s="345"/>
      <c r="AP96" s="344"/>
      <c r="AQ96" s="283"/>
      <c r="AR96" s="283"/>
      <c r="AS96" s="284"/>
      <c r="AT96" s="284"/>
      <c r="AU96" s="284"/>
      <c r="AV96" s="280"/>
      <c r="AW96" s="282"/>
      <c r="AX96" s="270"/>
      <c r="AY96" s="285"/>
      <c r="AZ96" s="281"/>
      <c r="BA96" s="286"/>
      <c r="BB96" s="281"/>
      <c r="BC96" s="280"/>
      <c r="BD96" s="282"/>
      <c r="BF96" s="765"/>
      <c r="BG96" s="766"/>
      <c r="BH96" s="287"/>
      <c r="BI96" s="766"/>
      <c r="BJ96" s="766"/>
      <c r="BK96" s="766"/>
      <c r="BL96" s="766"/>
      <c r="BM96" s="766"/>
      <c r="BN96" s="766"/>
      <c r="BO96" s="766"/>
      <c r="BP96" s="766"/>
      <c r="BQ96" s="766"/>
      <c r="BR96" s="767"/>
      <c r="BS96" s="766"/>
      <c r="BT96" s="766"/>
      <c r="BU96" s="766"/>
      <c r="BV96" s="768"/>
      <c r="BW96" s="768"/>
      <c r="BX96" s="768"/>
      <c r="BY96" s="768"/>
      <c r="BZ96" s="768"/>
      <c r="CA96" s="769"/>
      <c r="CB96" s="270"/>
      <c r="CC96" s="270"/>
    </row>
    <row r="97" spans="9:81" s="222" customFormat="1" ht="13.8"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33"/>
      <c r="U97" s="233"/>
      <c r="V97" s="23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3"/>
      <c r="AK97" s="223"/>
      <c r="AL97" s="223"/>
      <c r="AM97" s="223"/>
      <c r="AN97" s="223"/>
      <c r="AO97" s="223"/>
      <c r="AP97" s="223"/>
      <c r="AQ97" s="223"/>
      <c r="AR97" s="223"/>
      <c r="AS97" s="223"/>
      <c r="AT97" s="223"/>
      <c r="AU97" s="223"/>
      <c r="AV97" s="223"/>
      <c r="AW97" s="223"/>
      <c r="AX97" s="223"/>
      <c r="AY97" s="223"/>
      <c r="AZ97" s="223"/>
      <c r="BA97" s="223"/>
      <c r="BB97" s="223"/>
      <c r="BC97" s="223"/>
      <c r="BD97" s="223"/>
      <c r="BF97" s="223"/>
      <c r="BG97" s="223"/>
      <c r="BH97" s="223"/>
      <c r="BI97" s="223"/>
      <c r="BJ97" s="223"/>
      <c r="BK97" s="223"/>
      <c r="BL97" s="223"/>
      <c r="BM97" s="223"/>
      <c r="BN97" s="223"/>
      <c r="BO97" s="223"/>
      <c r="BP97" s="223"/>
      <c r="BQ97" s="223"/>
      <c r="BR97" s="223"/>
      <c r="BS97" s="223"/>
      <c r="BT97" s="223"/>
      <c r="BU97" s="223"/>
      <c r="BV97" s="223"/>
      <c r="BW97" s="223"/>
      <c r="BX97" s="223"/>
      <c r="BY97" s="223"/>
      <c r="BZ97" s="223"/>
      <c r="CA97" s="223"/>
      <c r="CB97" s="223"/>
      <c r="CC97" s="223" t="b">
        <v>0</v>
      </c>
    </row>
    <row r="98" spans="9:81" s="222" customFormat="1" ht="13.8">
      <c r="I98" s="223"/>
      <c r="J98" s="223"/>
      <c r="K98" s="223"/>
      <c r="L98" s="233" t="s">
        <v>187</v>
      </c>
      <c r="M98" s="827"/>
      <c r="N98" s="828"/>
      <c r="O98" s="828"/>
      <c r="P98" s="828"/>
      <c r="Q98" s="828"/>
      <c r="R98" s="828"/>
      <c r="S98" s="828"/>
      <c r="T98" s="828"/>
      <c r="U98" s="828"/>
      <c r="V98" s="828"/>
      <c r="W98" s="828"/>
      <c r="X98" s="829"/>
      <c r="Y98" s="223"/>
      <c r="Z98" s="223"/>
      <c r="AA98" s="223"/>
      <c r="AB98" s="223"/>
      <c r="AC98" s="223"/>
      <c r="AD98" s="223"/>
      <c r="AE98" s="223"/>
      <c r="AF98" s="223"/>
      <c r="AG98" s="223"/>
      <c r="AH98" s="223"/>
      <c r="AI98" s="223"/>
      <c r="AJ98" s="223"/>
      <c r="AK98" s="223"/>
      <c r="AL98" s="223"/>
      <c r="AM98" s="223"/>
      <c r="AN98" s="223"/>
      <c r="AO98" s="223"/>
      <c r="AP98" s="223"/>
      <c r="AQ98" s="223"/>
      <c r="AR98" s="223"/>
      <c r="AS98" s="223"/>
      <c r="AT98" s="223"/>
      <c r="AU98" s="223"/>
      <c r="AV98" s="223"/>
      <c r="AW98" s="223"/>
      <c r="AX98" s="223"/>
      <c r="AY98" s="288"/>
      <c r="AZ98" s="223"/>
      <c r="BA98" s="223"/>
      <c r="BB98" s="223"/>
      <c r="BC98" s="223"/>
      <c r="BD98" s="223"/>
      <c r="BF98" s="745"/>
      <c r="BG98" s="746"/>
      <c r="BH98" s="746"/>
      <c r="BI98" s="746"/>
      <c r="BJ98" s="746"/>
      <c r="BK98" s="746"/>
      <c r="BL98" s="746"/>
      <c r="BM98" s="746"/>
      <c r="BN98" s="746"/>
      <c r="BO98" s="746"/>
      <c r="BP98" s="746"/>
      <c r="BQ98" s="746"/>
      <c r="BR98" s="746"/>
      <c r="BS98" s="746"/>
      <c r="BT98" s="746"/>
      <c r="BU98" s="746"/>
      <c r="BV98" s="746"/>
      <c r="BW98" s="746"/>
      <c r="BX98" s="746"/>
      <c r="BY98" s="746"/>
      <c r="BZ98" s="746"/>
      <c r="CA98" s="747"/>
      <c r="CB98" s="223"/>
      <c r="CC98" s="289"/>
    </row>
    <row r="99" spans="9:81" s="222" customFormat="1" ht="13.8"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33"/>
      <c r="U99" s="233"/>
      <c r="V99" s="228"/>
      <c r="W99" s="228"/>
      <c r="X99" s="228"/>
      <c r="Y99" s="223"/>
      <c r="Z99" s="223"/>
      <c r="AA99" s="223"/>
      <c r="AB99" s="223"/>
      <c r="AC99" s="223"/>
      <c r="AD99" s="223"/>
      <c r="AE99" s="223"/>
      <c r="AF99" s="223"/>
      <c r="AG99" s="223"/>
      <c r="AH99" s="223"/>
      <c r="AI99" s="223"/>
      <c r="AJ99" s="223"/>
      <c r="AK99" s="223"/>
      <c r="AL99" s="223"/>
      <c r="AM99" s="223"/>
      <c r="AN99" s="223"/>
      <c r="AO99" s="223"/>
      <c r="AP99" s="223"/>
      <c r="AQ99" s="223"/>
      <c r="AR99" s="223"/>
      <c r="AS99" s="223"/>
      <c r="AT99" s="223"/>
      <c r="AU99" s="223"/>
      <c r="AV99" s="223"/>
      <c r="AW99" s="223"/>
      <c r="AX99" s="223"/>
      <c r="AY99" s="223"/>
      <c r="AZ99" s="223"/>
      <c r="BA99" s="223"/>
      <c r="BB99" s="223"/>
      <c r="BC99" s="223"/>
      <c r="BD99" s="223"/>
      <c r="BF99" s="223"/>
      <c r="BG99" s="223"/>
      <c r="BH99" s="223"/>
      <c r="BI99" s="223"/>
      <c r="BJ99" s="223"/>
      <c r="BK99" s="223"/>
      <c r="BL99" s="223"/>
      <c r="BM99" s="223"/>
      <c r="BN99" s="223"/>
      <c r="BO99" s="223"/>
      <c r="BP99" s="223"/>
      <c r="BQ99" s="223"/>
      <c r="BR99" s="223"/>
      <c r="BS99" s="223"/>
      <c r="BT99" s="223"/>
      <c r="BU99" s="223"/>
      <c r="BV99" s="223"/>
      <c r="BW99" s="223"/>
      <c r="BX99" s="223"/>
      <c r="BY99" s="223"/>
      <c r="BZ99" s="223"/>
      <c r="CA99" s="223"/>
      <c r="CB99" s="223"/>
      <c r="CC99" s="289"/>
    </row>
    <row r="100" spans="9:81" s="222" customFormat="1" ht="13.8">
      <c r="I100" s="223"/>
      <c r="J100" s="223"/>
      <c r="K100" s="223"/>
      <c r="L100" s="290" t="s">
        <v>188</v>
      </c>
      <c r="M100" s="748" t="str">
        <f>IF(OR(AND($R$3=FALSE,$S$3=FALSE,RegimeExecucao="Global"),AND($O$3=FALSE,$P$3=FALSE,$R$3=FALSE,$S$3=FALSE)),"Não foi considerado arredondamento nos valores da planilha.",CONCATENATE("Foi considerado arredondamento de duas casas decimais para ",IF(AND(RegimeExecucao="Unitário",$O$3=TRUE),"Quantidade; ",""),IF(AND(RegimeExecucao="Unitário",$P$3=TRUE),"Preço unitário; ",""),IF($R$3=TRUE,"Preço total; ",""),,IF($S$3=TRUE,"Medição.","")))</f>
        <v>Não foi considerado arredondamento nos valores da planilha.</v>
      </c>
      <c r="N100" s="749"/>
      <c r="O100" s="749"/>
      <c r="P100" s="749"/>
      <c r="Q100" s="749"/>
      <c r="R100" s="750"/>
      <c r="S100" s="291"/>
      <c r="T100" s="227"/>
      <c r="U100" s="227"/>
      <c r="V100" s="228"/>
      <c r="W100" s="228"/>
      <c r="X100" s="228"/>
      <c r="Y100" s="223"/>
      <c r="Z100" s="223"/>
      <c r="AA100" s="223"/>
      <c r="AB100" s="223"/>
      <c r="AC100" s="223"/>
      <c r="AD100" s="223"/>
      <c r="AE100" s="223"/>
      <c r="AF100" s="223"/>
      <c r="AG100" s="223"/>
      <c r="AH100" s="223"/>
      <c r="AI100" s="223"/>
      <c r="AJ100" s="223"/>
      <c r="AK100" s="223"/>
      <c r="AL100" s="223"/>
      <c r="AM100" s="223"/>
      <c r="AN100" s="223"/>
      <c r="AO100" s="223"/>
      <c r="AP100" s="223"/>
      <c r="AQ100" s="223"/>
      <c r="AR100" s="223"/>
      <c r="AS100" s="223"/>
      <c r="AT100" s="223"/>
      <c r="AU100" s="223"/>
      <c r="AV100" s="223"/>
      <c r="AW100" s="223"/>
      <c r="AX100" s="223"/>
      <c r="AY100" s="223"/>
      <c r="AZ100" s="223"/>
      <c r="BA100" s="223"/>
      <c r="BB100" s="223"/>
      <c r="BC100" s="223"/>
      <c r="BD100" s="223"/>
      <c r="BF100" s="223"/>
      <c r="BG100" s="223"/>
      <c r="BH100" s="223"/>
      <c r="BI100" s="223"/>
      <c r="BJ100" s="223"/>
      <c r="BK100" s="223"/>
      <c r="BL100" s="223"/>
      <c r="BM100" s="223"/>
      <c r="BN100" s="223"/>
      <c r="BO100" s="223"/>
      <c r="BP100" s="223"/>
      <c r="BQ100" s="223"/>
      <c r="BR100" s="223"/>
      <c r="BS100" s="223"/>
      <c r="BT100" s="223"/>
      <c r="BU100" s="223"/>
      <c r="BV100" s="223"/>
      <c r="BW100" s="223"/>
      <c r="BX100" s="223"/>
      <c r="BY100" s="223"/>
      <c r="BZ100" s="223"/>
      <c r="CA100" s="223"/>
      <c r="CB100" s="223"/>
      <c r="CC100" s="289"/>
    </row>
    <row r="101" spans="9:81" s="222" customFormat="1" ht="13.8">
      <c r="I101" s="235"/>
      <c r="J101" s="235"/>
      <c r="K101" s="235"/>
      <c r="L101" s="751" t="s">
        <v>189</v>
      </c>
      <c r="M101" s="751"/>
      <c r="N101" s="751"/>
      <c r="O101" s="751"/>
      <c r="P101" s="751"/>
      <c r="Q101" s="751"/>
      <c r="R101" s="751"/>
      <c r="S101" s="751"/>
      <c r="T101" s="751"/>
      <c r="U101" s="751"/>
      <c r="V101" s="751"/>
      <c r="W101" s="751"/>
      <c r="X101" s="751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92" t="s">
        <v>189</v>
      </c>
    </row>
    <row r="102" spans="9:81" s="222" customFormat="1" ht="13.8">
      <c r="I102" s="235"/>
      <c r="J102" s="235"/>
      <c r="K102" s="235"/>
      <c r="L102" s="352"/>
      <c r="M102" s="352"/>
      <c r="N102" s="352"/>
      <c r="O102" s="352"/>
      <c r="P102" s="352"/>
      <c r="Q102" s="352"/>
      <c r="R102" s="352"/>
      <c r="S102" s="352"/>
      <c r="T102" s="352"/>
      <c r="U102" s="352"/>
      <c r="V102" s="352"/>
      <c r="W102" s="352"/>
      <c r="X102" s="352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92"/>
    </row>
    <row r="103" spans="9:81" s="222" customFormat="1" ht="13.8">
      <c r="I103" s="235"/>
      <c r="J103" s="235"/>
      <c r="K103" s="235"/>
      <c r="L103" s="352"/>
      <c r="M103" s="352"/>
      <c r="N103" s="352"/>
      <c r="O103" s="352"/>
      <c r="P103" s="352"/>
      <c r="Q103" s="352"/>
      <c r="R103" s="352"/>
      <c r="S103" s="352"/>
      <c r="T103" s="352"/>
      <c r="U103" s="352"/>
      <c r="V103" s="352"/>
      <c r="W103" s="352"/>
      <c r="X103" s="352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92"/>
    </row>
    <row r="104" spans="9:81" s="222" customFormat="1" ht="13.8">
      <c r="I104" s="235"/>
      <c r="J104" s="235"/>
      <c r="K104" s="235"/>
      <c r="L104" s="352"/>
      <c r="M104" s="352"/>
      <c r="N104" s="352"/>
      <c r="O104" s="352"/>
      <c r="P104" s="352"/>
      <c r="Q104" s="352"/>
      <c r="R104" s="352"/>
      <c r="S104" s="352"/>
      <c r="T104" s="352"/>
      <c r="U104" s="352"/>
      <c r="V104" s="352"/>
      <c r="W104" s="352"/>
      <c r="X104" s="352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92"/>
    </row>
    <row r="105" spans="9:81" s="222" customFormat="1" ht="13.8">
      <c r="I105" s="235"/>
      <c r="J105" s="235"/>
      <c r="K105" s="235"/>
      <c r="L105" s="352"/>
      <c r="M105" s="352"/>
      <c r="N105" s="352"/>
      <c r="O105" s="352"/>
      <c r="P105" s="352"/>
      <c r="Q105" s="352"/>
      <c r="R105" s="352"/>
      <c r="S105" s="352"/>
      <c r="T105" s="352"/>
      <c r="U105" s="352"/>
      <c r="V105" s="352"/>
      <c r="W105" s="352"/>
      <c r="X105" s="352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92"/>
    </row>
    <row r="106" spans="9:81" s="222" customFormat="1" ht="13.8">
      <c r="I106" s="235"/>
      <c r="J106" s="235"/>
      <c r="K106" s="235"/>
      <c r="L106" s="352"/>
      <c r="M106" s="352"/>
      <c r="N106" s="352"/>
      <c r="O106" s="352"/>
      <c r="P106" s="352"/>
      <c r="Q106" s="352"/>
      <c r="R106" s="352"/>
      <c r="S106" s="352"/>
      <c r="T106" s="352"/>
      <c r="U106" s="352"/>
      <c r="V106" s="352"/>
      <c r="W106" s="352"/>
      <c r="X106" s="352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92"/>
    </row>
    <row r="107" spans="9:81" s="222" customFormat="1" ht="13.8">
      <c r="I107" s="235"/>
      <c r="J107" s="235"/>
      <c r="K107" s="235"/>
      <c r="L107" s="352"/>
      <c r="M107" s="352"/>
      <c r="N107" s="352"/>
      <c r="O107" s="352"/>
      <c r="P107" s="352"/>
      <c r="Q107" s="352"/>
      <c r="R107" s="352"/>
      <c r="S107" s="352"/>
      <c r="T107" s="352"/>
      <c r="U107" s="352"/>
      <c r="V107" s="352"/>
      <c r="W107" s="352"/>
      <c r="X107" s="352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92"/>
    </row>
    <row r="108" spans="9:81" s="222" customFormat="1" ht="13.8">
      <c r="I108" s="235"/>
      <c r="J108" s="235"/>
      <c r="K108" s="235"/>
      <c r="L108" s="352"/>
      <c r="M108" s="352"/>
      <c r="N108" s="352"/>
      <c r="O108" s="352"/>
      <c r="P108" s="352"/>
      <c r="Q108" s="352"/>
      <c r="R108" s="352"/>
      <c r="S108" s="352"/>
      <c r="T108" s="352"/>
      <c r="U108" s="352"/>
      <c r="V108" s="352"/>
      <c r="W108" s="352"/>
      <c r="X108" s="352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92"/>
    </row>
    <row r="109" spans="9:81" s="222" customFormat="1" ht="13.8">
      <c r="I109" s="235"/>
      <c r="J109" s="235"/>
      <c r="K109" s="235"/>
      <c r="L109" s="352"/>
      <c r="M109" s="352"/>
      <c r="N109" s="352"/>
      <c r="O109" s="352"/>
      <c r="P109" s="352"/>
      <c r="Q109" s="352"/>
      <c r="R109" s="352"/>
      <c r="S109" s="352"/>
      <c r="T109" s="352"/>
      <c r="U109" s="352"/>
      <c r="V109" s="352"/>
      <c r="W109" s="352"/>
      <c r="X109" s="352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92"/>
    </row>
    <row r="110" spans="9:81" s="222" customFormat="1" ht="13.8">
      <c r="I110" s="235"/>
      <c r="J110" s="235"/>
      <c r="K110" s="235"/>
      <c r="L110" s="352"/>
      <c r="M110" s="352"/>
      <c r="N110" s="352"/>
      <c r="O110" s="352"/>
      <c r="P110" s="352"/>
      <c r="Q110" s="352"/>
      <c r="R110" s="352"/>
      <c r="S110" s="352"/>
      <c r="T110" s="352"/>
      <c r="U110" s="352"/>
      <c r="V110" s="352"/>
      <c r="W110" s="352"/>
      <c r="X110" s="352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92"/>
    </row>
    <row r="111" spans="9:81" s="222" customFormat="1" ht="13.8">
      <c r="I111" s="235"/>
      <c r="J111" s="235"/>
      <c r="K111" s="235"/>
      <c r="L111" s="352"/>
      <c r="M111" s="352"/>
      <c r="N111" s="352"/>
      <c r="O111" s="352"/>
      <c r="P111" s="352"/>
      <c r="Q111" s="352"/>
      <c r="R111" s="352"/>
      <c r="S111" s="352"/>
      <c r="T111" s="352"/>
      <c r="U111" s="352"/>
      <c r="V111" s="352"/>
      <c r="W111" s="352"/>
      <c r="X111" s="352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92"/>
    </row>
    <row r="112" spans="9:81" s="222" customFormat="1" ht="55.5" customHeight="1">
      <c r="I112" s="223"/>
      <c r="J112" s="223"/>
      <c r="K112" s="223"/>
      <c r="L112" s="752" t="s">
        <v>287</v>
      </c>
      <c r="M112" s="752"/>
      <c r="N112" s="224"/>
      <c r="O112" s="225"/>
      <c r="P112" s="225"/>
      <c r="Q112" s="225"/>
      <c r="R112" s="226"/>
      <c r="S112" s="226"/>
      <c r="T112" s="227"/>
      <c r="U112" s="227"/>
      <c r="V112" s="228"/>
      <c r="W112" s="228"/>
      <c r="X112" s="228"/>
      <c r="Y112" s="223"/>
      <c r="Z112" s="223"/>
      <c r="AA112" s="223"/>
      <c r="AB112" s="223"/>
      <c r="AC112" s="223"/>
      <c r="AD112" s="223"/>
      <c r="AE112" s="223"/>
      <c r="AF112" s="223"/>
      <c r="AG112" s="223"/>
      <c r="AH112" s="223"/>
      <c r="AI112" s="223"/>
      <c r="AJ112" s="223"/>
      <c r="AK112" s="223"/>
      <c r="AL112" s="223"/>
      <c r="AM112" s="223"/>
      <c r="AN112" s="223"/>
      <c r="AO112" s="223"/>
      <c r="AP112" s="223"/>
      <c r="AQ112" s="223"/>
      <c r="AR112" s="223"/>
      <c r="AS112" s="223"/>
      <c r="AT112" s="223"/>
      <c r="AU112" s="223"/>
      <c r="AV112" s="223"/>
      <c r="AW112" s="223"/>
      <c r="AX112" s="223"/>
      <c r="AY112" s="223"/>
      <c r="AZ112" s="223"/>
      <c r="BA112" s="229"/>
      <c r="BB112" s="230"/>
      <c r="BC112" s="230"/>
      <c r="BD112" s="230"/>
      <c r="BF112" s="223"/>
      <c r="BG112" s="223"/>
      <c r="BH112" s="223"/>
      <c r="BI112" s="223"/>
      <c r="BJ112" s="223"/>
      <c r="BK112" s="223"/>
      <c r="BL112" s="223"/>
      <c r="BM112" s="223"/>
      <c r="BN112" s="223"/>
      <c r="BO112" s="223"/>
      <c r="BP112" s="223"/>
      <c r="BQ112" s="223"/>
      <c r="BR112" s="223"/>
      <c r="BS112" s="223"/>
      <c r="BT112" s="223"/>
      <c r="BU112" s="223"/>
      <c r="BV112" s="223"/>
      <c r="BW112" s="223"/>
      <c r="BX112" s="223"/>
      <c r="BY112" s="223"/>
      <c r="BZ112" s="223"/>
      <c r="CA112" s="223"/>
      <c r="CB112" s="223"/>
      <c r="CC112" s="231" t="s">
        <v>190</v>
      </c>
    </row>
    <row r="113" spans="9:80" s="222" customFormat="1" ht="12.75" customHeight="1">
      <c r="I113" s="232"/>
      <c r="J113" s="232"/>
      <c r="K113" s="223"/>
      <c r="L113" s="753" t="s">
        <v>191</v>
      </c>
      <c r="M113" s="753"/>
      <c r="N113" s="353"/>
      <c r="O113" s="756" t="s">
        <v>192</v>
      </c>
      <c r="P113" s="756"/>
      <c r="Q113" s="820" t="s">
        <v>245</v>
      </c>
      <c r="R113" s="820"/>
      <c r="S113" s="820"/>
      <c r="T113" s="233"/>
      <c r="U113" s="235"/>
      <c r="V113" s="754"/>
      <c r="W113" s="754"/>
      <c r="X113" s="223"/>
      <c r="Y113" s="223"/>
      <c r="Z113" s="223"/>
      <c r="AA113" s="223"/>
      <c r="AB113" s="223"/>
      <c r="AC113" s="223"/>
      <c r="AD113" s="223"/>
      <c r="AE113" s="223"/>
      <c r="AF113" s="223"/>
      <c r="AG113" s="223"/>
      <c r="AH113" s="223"/>
      <c r="AI113" s="223"/>
      <c r="AJ113" s="223"/>
      <c r="AK113" s="223"/>
      <c r="AL113" s="223"/>
      <c r="AM113" s="223"/>
      <c r="AN113" s="223"/>
      <c r="AO113" s="223"/>
      <c r="AP113" s="223"/>
      <c r="AQ113" s="232"/>
      <c r="AR113" s="232"/>
      <c r="AS113" s="232"/>
      <c r="AT113" s="232"/>
      <c r="AU113" s="232"/>
      <c r="AV113" s="232"/>
      <c r="AW113" s="232"/>
      <c r="AX113" s="232"/>
      <c r="AY113" s="232"/>
      <c r="AZ113" s="234"/>
      <c r="BA113" s="236" t="s">
        <v>193</v>
      </c>
      <c r="BB113" s="755"/>
      <c r="BC113" s="755"/>
      <c r="BE113" s="232"/>
      <c r="BF113" s="232"/>
      <c r="BG113" s="232"/>
      <c r="BH113" s="756" t="s">
        <v>193</v>
      </c>
      <c r="BI113" s="756"/>
      <c r="BJ113" s="756"/>
      <c r="BK113" s="756"/>
      <c r="BL113" s="756"/>
      <c r="BM113" s="764">
        <f>BC97</f>
        <v>0</v>
      </c>
      <c r="BN113" s="764"/>
      <c r="BO113" s="764"/>
      <c r="BP113" s="764"/>
      <c r="BQ113" s="764"/>
      <c r="BR113" s="764"/>
      <c r="BS113" s="764"/>
      <c r="BT113" s="764"/>
      <c r="BU113" s="764"/>
      <c r="BV113" s="764"/>
      <c r="BW113" s="232"/>
      <c r="BX113" s="232"/>
      <c r="BY113" s="232"/>
      <c r="BZ113" s="232"/>
      <c r="CA113" s="232"/>
      <c r="CB113" s="232"/>
    </row>
    <row r="114" spans="9:80" s="222" customFormat="1" ht="13.8">
      <c r="I114" s="232"/>
      <c r="J114" s="232"/>
      <c r="K114" s="223"/>
      <c r="L114" s="223"/>
      <c r="M114" s="223"/>
      <c r="N114" s="223"/>
      <c r="O114" s="223"/>
      <c r="P114" s="235" t="s">
        <v>194</v>
      </c>
      <c r="Q114" s="354" t="s">
        <v>246</v>
      </c>
      <c r="R114" s="223"/>
      <c r="S114" s="223"/>
      <c r="T114" s="233"/>
      <c r="U114" s="237"/>
      <c r="V114" s="759"/>
      <c r="W114" s="754"/>
      <c r="X114" s="223"/>
      <c r="Y114" s="223"/>
      <c r="Z114" s="223"/>
      <c r="AA114" s="223"/>
      <c r="AB114" s="223"/>
      <c r="AC114" s="223"/>
      <c r="AD114" s="223"/>
      <c r="AE114" s="223"/>
      <c r="AF114" s="223"/>
      <c r="AG114" s="223"/>
      <c r="AH114" s="223"/>
      <c r="AI114" s="223"/>
      <c r="AJ114" s="223"/>
      <c r="AK114" s="223"/>
      <c r="AL114" s="223"/>
      <c r="AM114" s="223"/>
      <c r="AN114" s="223"/>
      <c r="AO114" s="223"/>
      <c r="AP114" s="223"/>
      <c r="AQ114" s="232"/>
      <c r="AR114" s="232"/>
      <c r="AS114" s="232"/>
      <c r="AT114" s="232"/>
      <c r="AU114" s="232"/>
      <c r="AV114" s="232"/>
      <c r="AW114" s="232"/>
      <c r="AX114" s="232"/>
      <c r="AY114" s="232"/>
      <c r="AZ114" s="234"/>
      <c r="BA114" s="237" t="s">
        <v>195</v>
      </c>
      <c r="BB114" s="760"/>
      <c r="BC114" s="761"/>
      <c r="BE114" s="232"/>
      <c r="BF114" s="232"/>
      <c r="BG114" s="232"/>
      <c r="BH114" s="762" t="s">
        <v>195</v>
      </c>
      <c r="BI114" s="762"/>
      <c r="BJ114" s="762"/>
      <c r="BK114" s="762"/>
      <c r="BL114" s="762"/>
      <c r="BM114" s="763">
        <f>BC112</f>
        <v>0</v>
      </c>
      <c r="BN114" s="763"/>
      <c r="BO114" s="763"/>
      <c r="BP114" s="763"/>
      <c r="BQ114" s="763"/>
      <c r="BR114" s="763"/>
      <c r="BS114" s="763"/>
      <c r="BT114" s="763"/>
      <c r="BU114" s="763"/>
      <c r="BV114" s="763"/>
      <c r="BW114" s="232"/>
      <c r="BX114" s="232"/>
      <c r="BY114" s="232"/>
      <c r="BZ114" s="232"/>
      <c r="CA114" s="232"/>
      <c r="CB114" s="232"/>
    </row>
    <row r="115" spans="9:80" s="222" customFormat="1" ht="13.8">
      <c r="I115" s="232"/>
      <c r="J115" s="232"/>
      <c r="K115" s="223"/>
      <c r="L115" s="223"/>
      <c r="M115" s="223"/>
      <c r="N115" s="223"/>
      <c r="O115" s="223"/>
      <c r="P115" s="235" t="s">
        <v>196</v>
      </c>
      <c r="Q115" s="757" t="s">
        <v>247</v>
      </c>
      <c r="R115" s="758"/>
      <c r="S115" s="223"/>
      <c r="T115" s="233"/>
      <c r="U115" s="237"/>
      <c r="V115" s="759"/>
      <c r="W115" s="754"/>
      <c r="X115" s="223"/>
      <c r="Y115" s="223"/>
      <c r="Z115" s="223"/>
      <c r="AA115" s="223"/>
      <c r="AB115" s="223"/>
      <c r="AC115" s="223"/>
      <c r="AD115" s="223"/>
      <c r="AE115" s="223"/>
      <c r="AF115" s="223"/>
      <c r="AG115" s="223"/>
      <c r="AH115" s="223"/>
      <c r="AI115" s="223"/>
      <c r="AJ115" s="223"/>
      <c r="AK115" s="223"/>
      <c r="AL115" s="223"/>
      <c r="AM115" s="223"/>
      <c r="AN115" s="223"/>
      <c r="AO115" s="223"/>
      <c r="AP115" s="223"/>
      <c r="AQ115" s="232"/>
      <c r="AR115" s="232"/>
      <c r="AS115" s="232"/>
      <c r="AT115" s="232"/>
      <c r="AU115" s="232"/>
      <c r="AV115" s="232"/>
      <c r="AW115" s="232"/>
      <c r="AX115" s="232"/>
      <c r="AY115" s="232"/>
      <c r="AZ115" s="234"/>
      <c r="BA115" s="237" t="s">
        <v>194</v>
      </c>
      <c r="BB115" s="760"/>
      <c r="BC115" s="761"/>
      <c r="BE115" s="232"/>
      <c r="BF115" s="232"/>
      <c r="BG115" s="232"/>
      <c r="BH115" s="762" t="s">
        <v>194</v>
      </c>
      <c r="BI115" s="762"/>
      <c r="BJ115" s="762"/>
      <c r="BK115" s="762"/>
      <c r="BL115" s="762"/>
      <c r="BM115" s="763">
        <f>BB113</f>
        <v>0</v>
      </c>
      <c r="BN115" s="763"/>
      <c r="BO115" s="763"/>
      <c r="BP115" s="763"/>
      <c r="BQ115" s="763"/>
      <c r="BR115" s="763"/>
      <c r="BS115" s="763"/>
      <c r="BT115" s="763"/>
      <c r="BU115" s="763"/>
      <c r="BV115" s="763"/>
      <c r="BW115" s="232"/>
      <c r="BX115" s="232"/>
      <c r="BY115" s="232"/>
      <c r="BZ115" s="232"/>
      <c r="CA115" s="232"/>
      <c r="CB115" s="232"/>
    </row>
  </sheetData>
  <mergeCells count="533">
    <mergeCell ref="N11:O11"/>
    <mergeCell ref="W11:X11"/>
    <mergeCell ref="N12:O12"/>
    <mergeCell ref="W12:X12"/>
    <mergeCell ref="M1:W1"/>
    <mergeCell ref="X1:X2"/>
    <mergeCell ref="M2:W2"/>
    <mergeCell ref="O113:P113"/>
    <mergeCell ref="Q113:S113"/>
    <mergeCell ref="U14:V14"/>
    <mergeCell ref="O15:R15"/>
    <mergeCell ref="L18:N18"/>
    <mergeCell ref="O18:P18"/>
    <mergeCell ref="M98:X98"/>
    <mergeCell ref="N5:O5"/>
    <mergeCell ref="P5:R5"/>
    <mergeCell ref="S5:U5"/>
    <mergeCell ref="N6:O6"/>
    <mergeCell ref="P6:R6"/>
    <mergeCell ref="S6:U6"/>
    <mergeCell ref="K8:M8"/>
    <mergeCell ref="N8:P8"/>
    <mergeCell ref="K9:M9"/>
    <mergeCell ref="N9:P9"/>
    <mergeCell ref="BN17:BQ17"/>
    <mergeCell ref="BR17:BU17"/>
    <mergeCell ref="BV17:CA17"/>
    <mergeCell ref="BF15:BH15"/>
    <mergeCell ref="L16:M16"/>
    <mergeCell ref="S16:U16"/>
    <mergeCell ref="V16:X16"/>
    <mergeCell ref="AY16:BA16"/>
    <mergeCell ref="BB16:BD16"/>
    <mergeCell ref="BF16:BH16"/>
    <mergeCell ref="AE15:AF15"/>
    <mergeCell ref="AQ15:AR15"/>
    <mergeCell ref="AC18:AH18"/>
    <mergeCell ref="AO18:AT18"/>
    <mergeCell ref="BF18:BG18"/>
    <mergeCell ref="BI18:BJ18"/>
    <mergeCell ref="BF17:BG17"/>
    <mergeCell ref="BI17:BJ17"/>
    <mergeCell ref="BK17:BM17"/>
    <mergeCell ref="BF20:BG20"/>
    <mergeCell ref="BI20:BJ20"/>
    <mergeCell ref="BK20:BM20"/>
    <mergeCell ref="BN20:BQ20"/>
    <mergeCell ref="BR20:BU20"/>
    <mergeCell ref="BV20:CA20"/>
    <mergeCell ref="BK18:BM18"/>
    <mergeCell ref="BN18:BQ18"/>
    <mergeCell ref="BR18:BU18"/>
    <mergeCell ref="BV18:CA18"/>
    <mergeCell ref="BF19:BG19"/>
    <mergeCell ref="BI19:BJ19"/>
    <mergeCell ref="BK19:BM19"/>
    <mergeCell ref="BN19:BQ19"/>
    <mergeCell ref="BR19:BU19"/>
    <mergeCell ref="BV19:CA19"/>
    <mergeCell ref="BF22:BG22"/>
    <mergeCell ref="BI22:BJ22"/>
    <mergeCell ref="BK22:BM22"/>
    <mergeCell ref="BN22:BQ22"/>
    <mergeCell ref="BR22:BU22"/>
    <mergeCell ref="BV22:CA22"/>
    <mergeCell ref="BF21:BG21"/>
    <mergeCell ref="BI21:BJ21"/>
    <mergeCell ref="BK21:BM21"/>
    <mergeCell ref="BN21:BQ21"/>
    <mergeCell ref="BR21:BU21"/>
    <mergeCell ref="BV21:CA21"/>
    <mergeCell ref="BF24:BG24"/>
    <mergeCell ref="BI24:BJ24"/>
    <mergeCell ref="BK24:BM24"/>
    <mergeCell ref="BN24:BQ24"/>
    <mergeCell ref="BR24:BU24"/>
    <mergeCell ref="BV24:CA24"/>
    <mergeCell ref="BF23:BG23"/>
    <mergeCell ref="BI23:BJ23"/>
    <mergeCell ref="BK23:BM23"/>
    <mergeCell ref="BN23:BQ23"/>
    <mergeCell ref="BR23:BU23"/>
    <mergeCell ref="BV23:CA23"/>
    <mergeCell ref="BF26:BG26"/>
    <mergeCell ref="BI26:BJ26"/>
    <mergeCell ref="BK26:BM26"/>
    <mergeCell ref="BN26:BQ26"/>
    <mergeCell ref="BR26:BU26"/>
    <mergeCell ref="BV26:CA26"/>
    <mergeCell ref="BF25:BG25"/>
    <mergeCell ref="BI25:BJ25"/>
    <mergeCell ref="BK25:BM25"/>
    <mergeCell ref="BN25:BQ25"/>
    <mergeCell ref="BR25:BU25"/>
    <mergeCell ref="BV25:CA25"/>
    <mergeCell ref="BF28:BG28"/>
    <mergeCell ref="BI28:BJ28"/>
    <mergeCell ref="BK28:BM28"/>
    <mergeCell ref="BN28:BQ28"/>
    <mergeCell ref="BR28:BU28"/>
    <mergeCell ref="BV28:CA28"/>
    <mergeCell ref="BF27:BG27"/>
    <mergeCell ref="BI27:BJ27"/>
    <mergeCell ref="BK27:BM27"/>
    <mergeCell ref="BN27:BQ27"/>
    <mergeCell ref="BR27:BU27"/>
    <mergeCell ref="BV27:CA27"/>
    <mergeCell ref="BF30:BG30"/>
    <mergeCell ref="BI30:BJ30"/>
    <mergeCell ref="BK30:BM30"/>
    <mergeCell ref="BN30:BQ30"/>
    <mergeCell ref="BR30:BU30"/>
    <mergeCell ref="BV30:CA30"/>
    <mergeCell ref="BF29:BG29"/>
    <mergeCell ref="BI29:BJ29"/>
    <mergeCell ref="BK29:BM29"/>
    <mergeCell ref="BN29:BQ29"/>
    <mergeCell ref="BR29:BU29"/>
    <mergeCell ref="BV29:CA29"/>
    <mergeCell ref="BF32:BG32"/>
    <mergeCell ref="BI32:BJ32"/>
    <mergeCell ref="BK32:BM32"/>
    <mergeCell ref="BN32:BQ32"/>
    <mergeCell ref="BR32:BU32"/>
    <mergeCell ref="BV32:CA32"/>
    <mergeCell ref="BF31:BG31"/>
    <mergeCell ref="BI31:BJ31"/>
    <mergeCell ref="BK31:BM31"/>
    <mergeCell ref="BN31:BQ31"/>
    <mergeCell ref="BR31:BU31"/>
    <mergeCell ref="BV31:CA31"/>
    <mergeCell ref="BF34:BG34"/>
    <mergeCell ref="BI34:BJ34"/>
    <mergeCell ref="BK34:BM34"/>
    <mergeCell ref="BN34:BQ34"/>
    <mergeCell ref="BR34:BU34"/>
    <mergeCell ref="BV34:CA34"/>
    <mergeCell ref="BF33:BG33"/>
    <mergeCell ref="BI33:BJ33"/>
    <mergeCell ref="BK33:BM33"/>
    <mergeCell ref="BN33:BQ33"/>
    <mergeCell ref="BR33:BU33"/>
    <mergeCell ref="BV33:CA33"/>
    <mergeCell ref="BF36:BG36"/>
    <mergeCell ref="BI36:BJ36"/>
    <mergeCell ref="BK36:BM36"/>
    <mergeCell ref="BN36:BQ36"/>
    <mergeCell ref="BR36:BU36"/>
    <mergeCell ref="BV36:CA36"/>
    <mergeCell ref="BF35:BG35"/>
    <mergeCell ref="BI35:BJ35"/>
    <mergeCell ref="BK35:BM35"/>
    <mergeCell ref="BN35:BQ35"/>
    <mergeCell ref="BR35:BU35"/>
    <mergeCell ref="BV35:CA35"/>
    <mergeCell ref="BF38:BG38"/>
    <mergeCell ref="BI38:BJ38"/>
    <mergeCell ref="BK38:BM38"/>
    <mergeCell ref="BN38:BQ38"/>
    <mergeCell ref="BR38:BU38"/>
    <mergeCell ref="BV38:CA38"/>
    <mergeCell ref="BF37:BG37"/>
    <mergeCell ref="BI37:BJ37"/>
    <mergeCell ref="BK37:BM37"/>
    <mergeCell ref="BN37:BQ37"/>
    <mergeCell ref="BR37:BU37"/>
    <mergeCell ref="BV37:CA37"/>
    <mergeCell ref="BF40:BG40"/>
    <mergeCell ref="BI40:BJ40"/>
    <mergeCell ref="BK40:BM40"/>
    <mergeCell ref="BN40:BQ40"/>
    <mergeCell ref="BR40:BU40"/>
    <mergeCell ref="BV40:CA40"/>
    <mergeCell ref="BF39:BG39"/>
    <mergeCell ref="BI39:BJ39"/>
    <mergeCell ref="BK39:BM39"/>
    <mergeCell ref="BN39:BQ39"/>
    <mergeCell ref="BR39:BU39"/>
    <mergeCell ref="BV39:CA39"/>
    <mergeCell ref="BF42:BG42"/>
    <mergeCell ref="BI42:BJ42"/>
    <mergeCell ref="BK42:BM42"/>
    <mergeCell ref="BN42:BQ42"/>
    <mergeCell ref="BR42:BU42"/>
    <mergeCell ref="BV42:CA42"/>
    <mergeCell ref="BF41:BG41"/>
    <mergeCell ref="BI41:BJ41"/>
    <mergeCell ref="BK41:BM41"/>
    <mergeCell ref="BN41:BQ41"/>
    <mergeCell ref="BR41:BU41"/>
    <mergeCell ref="BV41:CA41"/>
    <mergeCell ref="BF44:BG44"/>
    <mergeCell ref="BI44:BJ44"/>
    <mergeCell ref="BK44:BM44"/>
    <mergeCell ref="BN44:BQ44"/>
    <mergeCell ref="BR44:BU44"/>
    <mergeCell ref="BV44:CA44"/>
    <mergeCell ref="BF43:BG43"/>
    <mergeCell ref="BI43:BJ43"/>
    <mergeCell ref="BK43:BM43"/>
    <mergeCell ref="BN43:BQ43"/>
    <mergeCell ref="BR43:BU43"/>
    <mergeCell ref="BV43:CA43"/>
    <mergeCell ref="BF46:BG46"/>
    <mergeCell ref="BI46:BJ46"/>
    <mergeCell ref="BK46:BM46"/>
    <mergeCell ref="BN46:BQ46"/>
    <mergeCell ref="BR46:BU46"/>
    <mergeCell ref="BV46:CA46"/>
    <mergeCell ref="BF45:BG45"/>
    <mergeCell ref="BI45:BJ45"/>
    <mergeCell ref="BK45:BM45"/>
    <mergeCell ref="BN45:BQ45"/>
    <mergeCell ref="BR45:BU45"/>
    <mergeCell ref="BV45:CA45"/>
    <mergeCell ref="BF48:BG48"/>
    <mergeCell ref="BI48:BJ48"/>
    <mergeCell ref="BK48:BM48"/>
    <mergeCell ref="BN48:BQ48"/>
    <mergeCell ref="BR48:BU48"/>
    <mergeCell ref="BV48:CA48"/>
    <mergeCell ref="BF47:BG47"/>
    <mergeCell ref="BI47:BJ47"/>
    <mergeCell ref="BK47:BM47"/>
    <mergeCell ref="BN47:BQ47"/>
    <mergeCell ref="BR47:BU47"/>
    <mergeCell ref="BV47:CA47"/>
    <mergeCell ref="BF50:BG50"/>
    <mergeCell ref="BI50:BJ50"/>
    <mergeCell ref="BK50:BM50"/>
    <mergeCell ref="BN50:BQ50"/>
    <mergeCell ref="BR50:BU50"/>
    <mergeCell ref="BV50:CA50"/>
    <mergeCell ref="BF49:BG49"/>
    <mergeCell ref="BI49:BJ49"/>
    <mergeCell ref="BK49:BM49"/>
    <mergeCell ref="BN49:BQ49"/>
    <mergeCell ref="BR49:BU49"/>
    <mergeCell ref="BV49:CA49"/>
    <mergeCell ref="BF52:BG52"/>
    <mergeCell ref="BI52:BJ52"/>
    <mergeCell ref="BK52:BM52"/>
    <mergeCell ref="BN52:BQ52"/>
    <mergeCell ref="BR52:BU52"/>
    <mergeCell ref="BV52:CA52"/>
    <mergeCell ref="BF51:BG51"/>
    <mergeCell ref="BI51:BJ51"/>
    <mergeCell ref="BK51:BM51"/>
    <mergeCell ref="BN51:BQ51"/>
    <mergeCell ref="BR51:BU51"/>
    <mergeCell ref="BV51:CA51"/>
    <mergeCell ref="BF54:BG54"/>
    <mergeCell ref="BI54:BJ54"/>
    <mergeCell ref="BK54:BM54"/>
    <mergeCell ref="BN54:BQ54"/>
    <mergeCell ref="BR54:BU54"/>
    <mergeCell ref="BV54:CA54"/>
    <mergeCell ref="BF53:BG53"/>
    <mergeCell ref="BI53:BJ53"/>
    <mergeCell ref="BK53:BM53"/>
    <mergeCell ref="BN53:BQ53"/>
    <mergeCell ref="BR53:BU53"/>
    <mergeCell ref="BV53:CA53"/>
    <mergeCell ref="BF56:BG56"/>
    <mergeCell ref="BI56:BJ56"/>
    <mergeCell ref="BK56:BM56"/>
    <mergeCell ref="BN56:BQ56"/>
    <mergeCell ref="BR56:BU56"/>
    <mergeCell ref="BV56:CA56"/>
    <mergeCell ref="BF55:BG55"/>
    <mergeCell ref="BI55:BJ55"/>
    <mergeCell ref="BK55:BM55"/>
    <mergeCell ref="BN55:BQ55"/>
    <mergeCell ref="BR55:BU55"/>
    <mergeCell ref="BV55:CA55"/>
    <mergeCell ref="BF58:BG58"/>
    <mergeCell ref="BI58:BJ58"/>
    <mergeCell ref="BK58:BM58"/>
    <mergeCell ref="BN58:BQ58"/>
    <mergeCell ref="BR58:BU58"/>
    <mergeCell ref="BV58:CA58"/>
    <mergeCell ref="BF57:BG57"/>
    <mergeCell ref="BI57:BJ57"/>
    <mergeCell ref="BK57:BM57"/>
    <mergeCell ref="BN57:BQ57"/>
    <mergeCell ref="BR57:BU57"/>
    <mergeCell ref="BV57:CA57"/>
    <mergeCell ref="BF60:BG60"/>
    <mergeCell ref="BI60:BJ60"/>
    <mergeCell ref="BK60:BM60"/>
    <mergeCell ref="BN60:BQ60"/>
    <mergeCell ref="BR60:BU60"/>
    <mergeCell ref="BV60:CA60"/>
    <mergeCell ref="BF59:BG59"/>
    <mergeCell ref="BI59:BJ59"/>
    <mergeCell ref="BK59:BM59"/>
    <mergeCell ref="BN59:BQ59"/>
    <mergeCell ref="BR59:BU59"/>
    <mergeCell ref="BV59:CA59"/>
    <mergeCell ref="BF62:BG62"/>
    <mergeCell ref="BI62:BJ62"/>
    <mergeCell ref="BK62:BM62"/>
    <mergeCell ref="BN62:BQ62"/>
    <mergeCell ref="BR62:BU62"/>
    <mergeCell ref="BV62:CA62"/>
    <mergeCell ref="BF61:BG61"/>
    <mergeCell ref="BI61:BJ61"/>
    <mergeCell ref="BK61:BM61"/>
    <mergeCell ref="BN61:BQ61"/>
    <mergeCell ref="BR61:BU61"/>
    <mergeCell ref="BV61:CA61"/>
    <mergeCell ref="BF64:BG64"/>
    <mergeCell ref="BI64:BJ64"/>
    <mergeCell ref="BK64:BM64"/>
    <mergeCell ref="BN64:BQ64"/>
    <mergeCell ref="BR64:BU64"/>
    <mergeCell ref="BV64:CA64"/>
    <mergeCell ref="BF63:BG63"/>
    <mergeCell ref="BI63:BJ63"/>
    <mergeCell ref="BK63:BM63"/>
    <mergeCell ref="BN63:BQ63"/>
    <mergeCell ref="BR63:BU63"/>
    <mergeCell ref="BV63:CA63"/>
    <mergeCell ref="BF66:BG66"/>
    <mergeCell ref="BI66:BJ66"/>
    <mergeCell ref="BK66:BM66"/>
    <mergeCell ref="BN66:BQ66"/>
    <mergeCell ref="BR66:BU66"/>
    <mergeCell ref="BV66:CA66"/>
    <mergeCell ref="BF65:BG65"/>
    <mergeCell ref="BI65:BJ65"/>
    <mergeCell ref="BK65:BM65"/>
    <mergeCell ref="BN65:BQ65"/>
    <mergeCell ref="BR65:BU65"/>
    <mergeCell ref="BV65:CA65"/>
    <mergeCell ref="BF68:BG68"/>
    <mergeCell ref="BI68:BJ68"/>
    <mergeCell ref="BK68:BM68"/>
    <mergeCell ref="BN68:BQ68"/>
    <mergeCell ref="BR68:BU68"/>
    <mergeCell ref="BV68:CA68"/>
    <mergeCell ref="BF67:BG67"/>
    <mergeCell ref="BI67:BJ67"/>
    <mergeCell ref="BK67:BM67"/>
    <mergeCell ref="BN67:BQ67"/>
    <mergeCell ref="BR67:BU67"/>
    <mergeCell ref="BV67:CA67"/>
    <mergeCell ref="BF70:BG70"/>
    <mergeCell ref="BI70:BJ70"/>
    <mergeCell ref="BK70:BM70"/>
    <mergeCell ref="BN70:BQ70"/>
    <mergeCell ref="BR70:BU70"/>
    <mergeCell ref="BV70:CA70"/>
    <mergeCell ref="BF69:BG69"/>
    <mergeCell ref="BI69:BJ69"/>
    <mergeCell ref="BK69:BM69"/>
    <mergeCell ref="BN69:BQ69"/>
    <mergeCell ref="BR69:BU69"/>
    <mergeCell ref="BV69:CA69"/>
    <mergeCell ref="BF72:BG72"/>
    <mergeCell ref="BI72:BJ72"/>
    <mergeCell ref="BK72:BM72"/>
    <mergeCell ref="BN72:BQ72"/>
    <mergeCell ref="BR72:BU72"/>
    <mergeCell ref="BV72:CA72"/>
    <mergeCell ref="BF71:BG71"/>
    <mergeCell ref="BI71:BJ71"/>
    <mergeCell ref="BK71:BM71"/>
    <mergeCell ref="BN71:BQ71"/>
    <mergeCell ref="BR71:BU71"/>
    <mergeCell ref="BV71:CA71"/>
    <mergeCell ref="BF74:BG74"/>
    <mergeCell ref="BI74:BJ74"/>
    <mergeCell ref="BK74:BM74"/>
    <mergeCell ref="BN74:BQ74"/>
    <mergeCell ref="BR74:BU74"/>
    <mergeCell ref="BV74:CA74"/>
    <mergeCell ref="BF73:BG73"/>
    <mergeCell ref="BI73:BJ73"/>
    <mergeCell ref="BK73:BM73"/>
    <mergeCell ref="BN73:BQ73"/>
    <mergeCell ref="BR73:BU73"/>
    <mergeCell ref="BV73:CA73"/>
    <mergeCell ref="BF76:BG76"/>
    <mergeCell ref="BI76:BJ76"/>
    <mergeCell ref="BK76:BM76"/>
    <mergeCell ref="BN76:BQ76"/>
    <mergeCell ref="BR76:BU76"/>
    <mergeCell ref="BV76:CA76"/>
    <mergeCell ref="BF75:BG75"/>
    <mergeCell ref="BI75:BJ75"/>
    <mergeCell ref="BK75:BM75"/>
    <mergeCell ref="BN75:BQ75"/>
    <mergeCell ref="BR75:BU75"/>
    <mergeCell ref="BV75:CA75"/>
    <mergeCell ref="BF78:BG78"/>
    <mergeCell ref="BI78:BJ78"/>
    <mergeCell ref="BK78:BM78"/>
    <mergeCell ref="BN78:BQ78"/>
    <mergeCell ref="BR78:BU78"/>
    <mergeCell ref="BV78:CA78"/>
    <mergeCell ref="BF77:BG77"/>
    <mergeCell ref="BI77:BJ77"/>
    <mergeCell ref="BK77:BM77"/>
    <mergeCell ref="BN77:BQ77"/>
    <mergeCell ref="BR77:BU77"/>
    <mergeCell ref="BV77:CA77"/>
    <mergeCell ref="BF80:BG80"/>
    <mergeCell ref="BI80:BJ80"/>
    <mergeCell ref="BK80:BM80"/>
    <mergeCell ref="BN80:BQ80"/>
    <mergeCell ref="BR80:BU80"/>
    <mergeCell ref="BV80:CA80"/>
    <mergeCell ref="BF79:BG79"/>
    <mergeCell ref="BI79:BJ79"/>
    <mergeCell ref="BK79:BM79"/>
    <mergeCell ref="BN79:BQ79"/>
    <mergeCell ref="BR79:BU79"/>
    <mergeCell ref="BV79:CA79"/>
    <mergeCell ref="BF82:BG82"/>
    <mergeCell ref="BI82:BJ82"/>
    <mergeCell ref="BK82:BM82"/>
    <mergeCell ref="BN82:BQ82"/>
    <mergeCell ref="BR82:BU82"/>
    <mergeCell ref="BV82:CA82"/>
    <mergeCell ref="BF81:BG81"/>
    <mergeCell ref="BI81:BJ81"/>
    <mergeCell ref="BK81:BM81"/>
    <mergeCell ref="BN81:BQ81"/>
    <mergeCell ref="BR81:BU81"/>
    <mergeCell ref="BV81:CA81"/>
    <mergeCell ref="BF84:BG84"/>
    <mergeCell ref="BI84:BJ84"/>
    <mergeCell ref="BK84:BM84"/>
    <mergeCell ref="BN84:BQ84"/>
    <mergeCell ref="BR84:BU84"/>
    <mergeCell ref="BV84:CA84"/>
    <mergeCell ref="BF83:BG83"/>
    <mergeCell ref="BI83:BJ83"/>
    <mergeCell ref="BK83:BM83"/>
    <mergeCell ref="BN83:BQ83"/>
    <mergeCell ref="BR83:BU83"/>
    <mergeCell ref="BV83:CA83"/>
    <mergeCell ref="BF86:BG86"/>
    <mergeCell ref="BI86:BJ86"/>
    <mergeCell ref="BK86:BM86"/>
    <mergeCell ref="BN86:BQ86"/>
    <mergeCell ref="BR86:BU86"/>
    <mergeCell ref="BV86:CA86"/>
    <mergeCell ref="BF85:BG85"/>
    <mergeCell ref="BI85:BJ85"/>
    <mergeCell ref="BK85:BM85"/>
    <mergeCell ref="BN85:BQ85"/>
    <mergeCell ref="BR85:BU85"/>
    <mergeCell ref="BV85:CA85"/>
    <mergeCell ref="BF88:BG88"/>
    <mergeCell ref="BI88:BJ88"/>
    <mergeCell ref="BK88:BM88"/>
    <mergeCell ref="BN88:BQ88"/>
    <mergeCell ref="BR88:BU88"/>
    <mergeCell ref="BV88:CA88"/>
    <mergeCell ref="BF87:BG87"/>
    <mergeCell ref="BI87:BJ87"/>
    <mergeCell ref="BK87:BM87"/>
    <mergeCell ref="BN87:BQ87"/>
    <mergeCell ref="BR87:BU87"/>
    <mergeCell ref="BV87:CA87"/>
    <mergeCell ref="BF90:BG90"/>
    <mergeCell ref="BI90:BJ90"/>
    <mergeCell ref="BK90:BM90"/>
    <mergeCell ref="BN90:BQ90"/>
    <mergeCell ref="BR90:BU90"/>
    <mergeCell ref="BV90:CA90"/>
    <mergeCell ref="BF89:BG89"/>
    <mergeCell ref="BI89:BJ89"/>
    <mergeCell ref="BK89:BM89"/>
    <mergeCell ref="BN89:BQ89"/>
    <mergeCell ref="BR89:BU89"/>
    <mergeCell ref="BV89:CA89"/>
    <mergeCell ref="BF92:BG92"/>
    <mergeCell ref="BI92:BJ92"/>
    <mergeCell ref="BK92:BM92"/>
    <mergeCell ref="BN92:BQ92"/>
    <mergeCell ref="BR92:BU92"/>
    <mergeCell ref="BV92:CA92"/>
    <mergeCell ref="BF91:BG91"/>
    <mergeCell ref="BI91:BJ91"/>
    <mergeCell ref="BK91:BM91"/>
    <mergeCell ref="BN91:BQ91"/>
    <mergeCell ref="BR91:BU91"/>
    <mergeCell ref="BV91:CA91"/>
    <mergeCell ref="BF94:BG94"/>
    <mergeCell ref="BI94:BJ94"/>
    <mergeCell ref="BK94:BM94"/>
    <mergeCell ref="BN94:BQ94"/>
    <mergeCell ref="BR94:BU94"/>
    <mergeCell ref="BV94:CA94"/>
    <mergeCell ref="BF93:BG93"/>
    <mergeCell ref="BI93:BJ93"/>
    <mergeCell ref="BK93:BM93"/>
    <mergeCell ref="BN93:BQ93"/>
    <mergeCell ref="BR93:BU93"/>
    <mergeCell ref="BV93:CA93"/>
    <mergeCell ref="BF96:BG96"/>
    <mergeCell ref="BI96:BJ96"/>
    <mergeCell ref="BK96:BM96"/>
    <mergeCell ref="BN96:BQ96"/>
    <mergeCell ref="BR96:BU96"/>
    <mergeCell ref="BV96:CA96"/>
    <mergeCell ref="BF95:BG95"/>
    <mergeCell ref="BI95:BJ95"/>
    <mergeCell ref="BK95:BM95"/>
    <mergeCell ref="BN95:BQ95"/>
    <mergeCell ref="BR95:BU95"/>
    <mergeCell ref="BV95:CA95"/>
    <mergeCell ref="BF98:CA98"/>
    <mergeCell ref="M100:R100"/>
    <mergeCell ref="L101:X101"/>
    <mergeCell ref="L112:M112"/>
    <mergeCell ref="L113:M113"/>
    <mergeCell ref="V113:W113"/>
    <mergeCell ref="BB113:BC113"/>
    <mergeCell ref="BH113:BL113"/>
    <mergeCell ref="Q115:R115"/>
    <mergeCell ref="V115:W115"/>
    <mergeCell ref="BB115:BC115"/>
    <mergeCell ref="BH115:BL115"/>
    <mergeCell ref="BM115:BV115"/>
    <mergeCell ref="BM113:BV113"/>
    <mergeCell ref="V114:W114"/>
    <mergeCell ref="BB114:BC114"/>
    <mergeCell ref="BH114:BL114"/>
    <mergeCell ref="BM114:BV114"/>
  </mergeCells>
  <conditionalFormatting sqref="K19:K95">
    <cfRule type="expression" dxfId="61" priority="30" stopIfTrue="1">
      <formula>$K19="Meta"</formula>
    </cfRule>
    <cfRule type="expression" dxfId="60" priority="31" stopIfTrue="1">
      <formula>$A19&lt;&gt;"S"</formula>
    </cfRule>
  </conditionalFormatting>
  <conditionalFormatting sqref="M2">
    <cfRule type="expression" dxfId="59" priority="19" stopIfTrue="1">
      <formula>Import.RegimeExecução=""</formula>
    </cfRule>
  </conditionalFormatting>
  <conditionalFormatting sqref="K19:K95">
    <cfRule type="expression" dxfId="58" priority="16" stopIfTrue="1">
      <formula>$K19="Meta"</formula>
    </cfRule>
    <cfRule type="expression" dxfId="57" priority="17" stopIfTrue="1">
      <formula>$A19&lt;&gt;"S"</formula>
    </cfRule>
  </conditionalFormatting>
  <conditionalFormatting sqref="Z19:AW95">
    <cfRule type="expression" dxfId="56" priority="33" stopIfTrue="1">
      <formula>$K19=#REF!</formula>
    </cfRule>
    <cfRule type="expression" dxfId="55" priority="34" stopIfTrue="1">
      <formula>$A19&lt;&gt;"S"</formula>
    </cfRule>
  </conditionalFormatting>
  <conditionalFormatting sqref="BF19:CA95">
    <cfRule type="expression" dxfId="54" priority="35" stopIfTrue="1">
      <formula>$K19=#REF!</formula>
    </cfRule>
    <cfRule type="expression" dxfId="53" priority="36" stopIfTrue="1">
      <formula>$A19&lt;&gt;"S"</formula>
    </cfRule>
  </conditionalFormatting>
  <conditionalFormatting sqref="AY19:BD95 L19:P95 X20:X95 R19:W95">
    <cfRule type="expression" dxfId="52" priority="37" stopIfTrue="1">
      <formula>OR($U19&lt;0,AND($U19&gt;100,RegimeExecucao="Global"),AND($U19&gt;ROUND($O19,2),RegimeExecucao="Unitário"))</formula>
    </cfRule>
    <cfRule type="expression" dxfId="51" priority="38" stopIfTrue="1">
      <formula>$K19=#REF!</formula>
    </cfRule>
    <cfRule type="expression" dxfId="50" priority="39" stopIfTrue="1">
      <formula>$A19&lt;&gt;"S"</formula>
    </cfRule>
  </conditionalFormatting>
  <conditionalFormatting sqref="Q19:Q95">
    <cfRule type="expression" dxfId="49" priority="49" stopIfTrue="1">
      <formula>AND($A19&lt;&gt;"S",RegimeExecucao="Global",$Q19&lt;&gt;$R19,$Q19&lt;&gt;0)</formula>
    </cfRule>
    <cfRule type="expression" dxfId="48" priority="50" stopIfTrue="1">
      <formula>$K19=#REF!</formula>
    </cfRule>
    <cfRule type="expression" dxfId="47" priority="51" stopIfTrue="1">
      <formula>$A19&lt;&gt;"S"</formula>
    </cfRule>
  </conditionalFormatting>
  <conditionalFormatting sqref="Z19:AW95">
    <cfRule type="expression" dxfId="46" priority="52" stopIfTrue="1">
      <formula>$K19=#REF!</formula>
    </cfRule>
    <cfRule type="expression" dxfId="45" priority="53" stopIfTrue="1">
      <formula>$A19&lt;&gt;"S"</formula>
    </cfRule>
  </conditionalFormatting>
  <conditionalFormatting sqref="BF19:CA95">
    <cfRule type="expression" dxfId="44" priority="54" stopIfTrue="1">
      <formula>$K19=#REF!</formula>
    </cfRule>
    <cfRule type="expression" dxfId="43" priority="55" stopIfTrue="1">
      <formula>$A19&lt;&gt;"S"</formula>
    </cfRule>
  </conditionalFormatting>
  <conditionalFormatting sqref="AY19:BD95 L19:P95 X20:X95 R19:W95">
    <cfRule type="expression" dxfId="42" priority="56" stopIfTrue="1">
      <formula>OR($U19&lt;0,AND($U19&gt;100,RegimeExecucao="Global"),AND($U19&gt;ROUND($O19,2),RegimeExecucao="Unitário"))</formula>
    </cfRule>
    <cfRule type="expression" dxfId="41" priority="57" stopIfTrue="1">
      <formula>$K19=#REF!</formula>
    </cfRule>
    <cfRule type="expression" dxfId="40" priority="58" stopIfTrue="1">
      <formula>$A19&lt;&gt;"S"</formula>
    </cfRule>
  </conditionalFormatting>
  <conditionalFormatting sqref="Q19:Q95">
    <cfRule type="expression" dxfId="39" priority="68" stopIfTrue="1">
      <formula>AND($A19&lt;&gt;"S",RegimeExecucao="Global",$Q19&lt;&gt;$R19,$Q19&lt;&gt;0)</formula>
    </cfRule>
    <cfRule type="expression" dxfId="38" priority="69" stopIfTrue="1">
      <formula>$K19=#REF!</formula>
    </cfRule>
    <cfRule type="expression" dxfId="37" priority="70" stopIfTrue="1">
      <formula>$A19&lt;&gt;"S"</formula>
    </cfRule>
  </conditionalFormatting>
  <conditionalFormatting sqref="O112:P115 Q112:S112 Q113:R115">
    <cfRule type="expression" dxfId="36" priority="4" stopIfTrue="1">
      <formula>OR($R$116="",CAIXA.modo=TRUE())</formula>
    </cfRule>
  </conditionalFormatting>
  <conditionalFormatting sqref="O112:P115 Q112:S112 Q113:R115">
    <cfRule type="expression" dxfId="35" priority="3" stopIfTrue="1">
      <formula>OR($R$116="",CAIXA.modo=TRUE())</formula>
    </cfRule>
  </conditionalFormatting>
  <conditionalFormatting sqref="R114:R115 Q113:Q115 O112:S112 O114:P115">
    <cfRule type="expression" dxfId="34" priority="2" stopIfTrue="1">
      <formula>OR($R$100="",CAIXA.modo=TRUE())</formula>
    </cfRule>
  </conditionalFormatting>
  <conditionalFormatting sqref="R114:R115 Q113:Q115 O112:S112 O114:P115">
    <cfRule type="expression" dxfId="33" priority="1" stopIfTrue="1">
      <formula>OR($R$100="",CAIXA.modo=TRUE())</formula>
    </cfRule>
  </conditionalFormatting>
  <conditionalFormatting sqref="O112:P115 Q112:S112 Q113:R115">
    <cfRule type="expression" dxfId="32" priority="71" stopIfTrue="1">
      <formula>OR($Q$113="",CAIXA.modo=TRUE())</formula>
    </cfRule>
  </conditionalFormatting>
  <conditionalFormatting sqref="O112:P115 Q112:S112 Q113:R115">
    <cfRule type="expression" dxfId="31" priority="74" stopIfTrue="1">
      <formula>OR($Q$113="",CAIXA.modo=TRUE())</formula>
    </cfRule>
  </conditionalFormatting>
  <dataValidations count="7">
    <dataValidation type="decimal" allowBlank="1" showInputMessage="1" showErrorMessage="1" error="Valor Superior à da medição." sqref="BA19:BA95">
      <formula1>0</formula1>
      <formula2>U19</formula2>
    </dataValidation>
    <dataValidation type="decimal" errorStyle="warning" allowBlank="1" showInputMessage="1" showErrorMessage="1" errorTitle="Atenção! " error="% medido é superior a 100% (Global)&#10;ou&#10;Quantidade é superior à contratada (P. Unit)&#10;ou&#10;Evolução acumulada negativa" sqref="Z19:AW95">
      <formula1>(SUM($Y19:Z19))*-1</formula1>
      <formula2>IF($I$15="Global",100-SUM($Z19:$AW19)+Z19,ROUND($O19,2)-SUM($Z19:$AW19)+Z19)</formula2>
    </dataValidation>
    <dataValidation type="list" allowBlank="1" showInputMessage="1" sqref="BV18:CA95">
      <formula1>glosas</formula1>
    </dataValidation>
    <dataValidation type="whole" operator="greaterThan" allowBlank="1" showInputMessage="1" showErrorMessage="1" errorTitle="Atenção" error="Deve ser digitado apenas o NÚMERO da primeira medição" sqref="Z17">
      <formula1>0</formula1>
    </dataValidation>
    <dataValidation type="list" showInputMessage="1" showErrorMessage="1" errorTitle="Erro de Entrada" error="Selecione somente os itens da lista." promptTitle="Nível:" prompt="Selecione na lista o nível de itemização da Planilha." sqref="K19:K95">
      <formula1>#REF!</formula1>
    </dataValidation>
    <dataValidation allowBlank="1" showInputMessage="1" showErrorMessage="1" prompt="Digite a data das medições nas colunas amarelas à direita &gt;&gt;&gt;&gt;" sqref="U14:V14"/>
    <dataValidation type="decimal" errorStyle="warning" operator="greaterThanOrEqual" allowBlank="1" showInputMessage="1" showErrorMessage="1" errorTitle="Erro" error="Os valores devem ser maiores que 0." sqref="O19:Q95">
      <formula1>0</formula1>
    </dataValidation>
  </dataValidations>
  <printOptions horizontalCentered="1"/>
  <pageMargins left="0" right="0" top="0" bottom="0" header="0.31496062992125984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CC115"/>
  <sheetViews>
    <sheetView view="pageLayout" topLeftCell="K109" workbookViewId="0">
      <selection activeCell="M116" sqref="M116"/>
    </sheetView>
  </sheetViews>
  <sheetFormatPr defaultColWidth="11.6640625" defaultRowHeight="13.2"/>
  <cols>
    <col min="1" max="8" width="6.6640625" style="59" hidden="1" customWidth="1"/>
    <col min="9" max="10" width="6.6640625" style="60" hidden="1" customWidth="1"/>
    <col min="11" max="11" width="7" style="46" customWidth="1"/>
    <col min="12" max="12" width="6.44140625" style="46" customWidth="1"/>
    <col min="13" max="13" width="55.6640625" style="46" customWidth="1"/>
    <col min="14" max="14" width="6" style="46" customWidth="1"/>
    <col min="15" max="15" width="8.77734375" style="46" bestFit="1" customWidth="1"/>
    <col min="16" max="16" width="13.6640625" style="46" customWidth="1"/>
    <col min="17" max="17" width="15.6640625" style="46" customWidth="1"/>
    <col min="18" max="18" width="15.109375" style="46" customWidth="1"/>
    <col min="19" max="19" width="11.44140625" style="46" customWidth="1"/>
    <col min="20" max="20" width="10.21875" style="180" customWidth="1"/>
    <col min="21" max="21" width="16.44140625" style="180" customWidth="1"/>
    <col min="22" max="22" width="14.77734375" style="180" customWidth="1"/>
    <col min="23" max="23" width="13.21875" style="46" customWidth="1"/>
    <col min="24" max="24" width="15.5546875" style="46" customWidth="1"/>
    <col min="25" max="25" width="3.88671875" style="46" customWidth="1"/>
    <col min="26" max="42" width="11.6640625" style="46"/>
    <col min="43" max="50" width="11.6640625" style="60"/>
    <col min="51" max="53" width="11.44140625" style="60" hidden="1" customWidth="1"/>
    <col min="54" max="56" width="18.44140625" style="60" hidden="1" customWidth="1"/>
    <col min="57" max="57" width="2.88671875" style="59" hidden="1" customWidth="1"/>
    <col min="58" max="59" width="5.6640625" style="60" hidden="1" customWidth="1"/>
    <col min="60" max="60" width="90.88671875" style="60" hidden="1" customWidth="1"/>
    <col min="61" max="79" width="3.88671875" style="60" hidden="1" customWidth="1"/>
    <col min="80" max="80" width="11.6640625" style="60"/>
    <col min="81" max="81" width="11.6640625" style="60" hidden="1" customWidth="1"/>
    <col min="82" max="82" width="22" style="59" customWidth="1"/>
    <col min="83" max="16384" width="11.6640625" style="59"/>
  </cols>
  <sheetData>
    <row r="1" spans="9:81" ht="13.8">
      <c r="I1" s="16"/>
      <c r="J1" s="16"/>
      <c r="K1" s="294"/>
      <c r="L1" s="295"/>
      <c r="M1" s="815" t="s">
        <v>269</v>
      </c>
      <c r="N1" s="815"/>
      <c r="O1" s="815"/>
      <c r="P1" s="815"/>
      <c r="Q1" s="815"/>
      <c r="R1" s="815"/>
      <c r="S1" s="815"/>
      <c r="T1" s="815"/>
      <c r="U1" s="815"/>
      <c r="V1" s="815"/>
      <c r="W1" s="815"/>
      <c r="X1" s="816" t="s">
        <v>286</v>
      </c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</row>
    <row r="2" spans="9:81" ht="13.8">
      <c r="I2" s="16"/>
      <c r="J2" s="16"/>
      <c r="K2" s="294"/>
      <c r="L2" s="23"/>
      <c r="M2" s="818" t="s">
        <v>242</v>
      </c>
      <c r="N2" s="818"/>
      <c r="O2" s="818"/>
      <c r="P2" s="818"/>
      <c r="Q2" s="818"/>
      <c r="R2" s="818"/>
      <c r="S2" s="818"/>
      <c r="T2" s="818"/>
      <c r="U2" s="818"/>
      <c r="V2" s="818"/>
      <c r="W2" s="819"/>
      <c r="X2" s="817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</row>
    <row r="5" spans="9:81" ht="15.6" customHeight="1">
      <c r="I5" s="16"/>
      <c r="J5" s="16"/>
      <c r="K5" s="196" t="s">
        <v>210</v>
      </c>
      <c r="L5" s="197"/>
      <c r="M5" s="363" t="s">
        <v>211</v>
      </c>
      <c r="N5" s="597" t="s">
        <v>212</v>
      </c>
      <c r="O5" s="599"/>
      <c r="P5" s="597" t="s">
        <v>275</v>
      </c>
      <c r="Q5" s="830"/>
      <c r="R5" s="599"/>
      <c r="S5" s="597" t="s">
        <v>214</v>
      </c>
      <c r="T5" s="830"/>
      <c r="U5" s="599"/>
      <c r="V5" s="199" t="s">
        <v>215</v>
      </c>
      <c r="W5" s="200"/>
      <c r="X5" s="201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  <c r="AK5" s="296"/>
      <c r="AL5" s="296"/>
      <c r="AM5" s="296"/>
      <c r="AN5" s="296"/>
      <c r="AO5" s="296"/>
      <c r="AP5" s="29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</row>
    <row r="6" spans="9:81" ht="16.2" customHeight="1">
      <c r="I6" s="16"/>
      <c r="J6" s="16"/>
      <c r="K6" s="202" t="s">
        <v>276</v>
      </c>
      <c r="L6" s="203"/>
      <c r="M6" s="364" t="s">
        <v>277</v>
      </c>
      <c r="N6" s="831" t="s">
        <v>278</v>
      </c>
      <c r="O6" s="832"/>
      <c r="P6" s="833" t="s">
        <v>219</v>
      </c>
      <c r="Q6" s="834"/>
      <c r="R6" s="835"/>
      <c r="S6" s="833" t="s">
        <v>220</v>
      </c>
      <c r="T6" s="834"/>
      <c r="U6" s="835"/>
      <c r="V6" s="205" t="s">
        <v>279</v>
      </c>
      <c r="W6" s="206"/>
      <c r="X6" s="201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  <c r="AK6" s="296"/>
      <c r="AL6" s="296"/>
      <c r="AM6" s="296"/>
      <c r="AN6" s="296"/>
      <c r="AO6" s="296"/>
      <c r="AP6" s="29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</row>
    <row r="7" spans="9:81" ht="13.8">
      <c r="I7" s="16"/>
      <c r="J7" s="16"/>
      <c r="K7" s="297"/>
      <c r="L7" s="297"/>
      <c r="M7" s="199"/>
      <c r="N7" s="298"/>
      <c r="O7" s="298"/>
      <c r="P7" s="298"/>
      <c r="Q7" s="298"/>
      <c r="R7" s="298"/>
      <c r="S7" s="199"/>
      <c r="T7" s="199"/>
      <c r="U7" s="199"/>
      <c r="V7" s="199"/>
      <c r="W7" s="199"/>
      <c r="X7" s="199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  <c r="AK7" s="296"/>
      <c r="AL7" s="296"/>
      <c r="AM7" s="296"/>
      <c r="AN7" s="296"/>
      <c r="AO7" s="296"/>
      <c r="AP7" s="29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</row>
    <row r="8" spans="9:81" ht="15" customHeight="1">
      <c r="I8" s="16"/>
      <c r="J8" s="16"/>
      <c r="K8" s="605" t="s">
        <v>280</v>
      </c>
      <c r="L8" s="836"/>
      <c r="M8" s="836"/>
      <c r="N8" s="605" t="s">
        <v>281</v>
      </c>
      <c r="O8" s="836"/>
      <c r="P8" s="607"/>
      <c r="Q8" s="299"/>
      <c r="R8" s="365" t="s">
        <v>224</v>
      </c>
      <c r="S8" s="366"/>
      <c r="T8" s="367"/>
      <c r="U8" s="300" t="s">
        <v>225</v>
      </c>
      <c r="V8" s="300"/>
      <c r="W8" s="301"/>
      <c r="X8" s="299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  <c r="AK8" s="296"/>
      <c r="AL8" s="296"/>
      <c r="AM8" s="296"/>
      <c r="AN8" s="296"/>
      <c r="AO8" s="296"/>
      <c r="AP8" s="29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</row>
    <row r="9" spans="9:81" ht="16.8" customHeight="1">
      <c r="I9" s="16"/>
      <c r="J9" s="16"/>
      <c r="K9" s="837" t="s">
        <v>282</v>
      </c>
      <c r="L9" s="838"/>
      <c r="M9" s="838"/>
      <c r="N9" s="811" t="s">
        <v>283</v>
      </c>
      <c r="O9" s="839"/>
      <c r="P9" s="812"/>
      <c r="Q9" s="206"/>
      <c r="R9" s="368" t="s">
        <v>228</v>
      </c>
      <c r="S9" s="211"/>
      <c r="T9" s="211"/>
      <c r="U9" s="202" t="s">
        <v>229</v>
      </c>
      <c r="V9" s="302"/>
      <c r="W9" s="203"/>
      <c r="X9" s="20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  <c r="AK9" s="296"/>
      <c r="AL9" s="296"/>
      <c r="AM9" s="296"/>
      <c r="AN9" s="296"/>
      <c r="AO9" s="296"/>
      <c r="AP9" s="29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</row>
    <row r="10" spans="9:81" ht="10.8" customHeight="1">
      <c r="I10" s="16"/>
      <c r="J10" s="16"/>
      <c r="K10" s="303"/>
      <c r="L10" s="212"/>
      <c r="M10" s="212"/>
      <c r="N10" s="212"/>
      <c r="O10" s="212"/>
      <c r="P10" s="212"/>
      <c r="Q10" s="212"/>
      <c r="R10" s="212"/>
      <c r="S10" s="212"/>
      <c r="T10" s="212"/>
      <c r="U10" s="213"/>
      <c r="V10" s="304"/>
      <c r="W10" s="199"/>
      <c r="X10" s="199"/>
      <c r="Y10" s="296"/>
      <c r="Z10" s="296"/>
      <c r="AA10" s="296"/>
      <c r="AB10" s="296"/>
      <c r="AC10" s="296"/>
      <c r="AD10" s="296"/>
      <c r="AE10" s="296"/>
      <c r="AF10" s="296"/>
      <c r="AG10" s="296"/>
      <c r="AH10" s="296"/>
      <c r="AI10" s="296"/>
      <c r="AJ10" s="296"/>
      <c r="AK10" s="296"/>
      <c r="AL10" s="296"/>
      <c r="AM10" s="296"/>
      <c r="AN10" s="296"/>
      <c r="AO10" s="296"/>
      <c r="AP10" s="29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</row>
    <row r="11" spans="9:81" ht="13.8">
      <c r="I11" s="16"/>
      <c r="J11" s="16"/>
      <c r="K11" s="305" t="s">
        <v>231</v>
      </c>
      <c r="L11" s="370"/>
      <c r="M11" s="214" t="s">
        <v>232</v>
      </c>
      <c r="N11" s="807" t="s">
        <v>233</v>
      </c>
      <c r="O11" s="808"/>
      <c r="P11" s="215" t="s">
        <v>234</v>
      </c>
      <c r="Q11" s="215"/>
      <c r="R11" s="215"/>
      <c r="S11" s="215"/>
      <c r="T11" s="215"/>
      <c r="U11" s="215"/>
      <c r="V11" s="214"/>
      <c r="W11" s="809" t="s">
        <v>284</v>
      </c>
      <c r="X11" s="810"/>
      <c r="Y11" s="296"/>
      <c r="Z11" s="296"/>
      <c r="AA11" s="296"/>
      <c r="AB11" s="296"/>
      <c r="AC11" s="296"/>
      <c r="AD11" s="296"/>
      <c r="AE11" s="296"/>
      <c r="AF11" s="296"/>
      <c r="AG11" s="296"/>
      <c r="AH11" s="296"/>
      <c r="AI11" s="296"/>
      <c r="AJ11" s="296"/>
      <c r="AK11" s="296"/>
      <c r="AL11" s="296"/>
      <c r="AM11" s="296"/>
      <c r="AN11" s="296"/>
      <c r="AO11" s="296"/>
      <c r="AP11" s="29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</row>
    <row r="12" spans="9:81" ht="13.8">
      <c r="I12" s="16"/>
      <c r="J12" s="16"/>
      <c r="K12" s="216" t="s">
        <v>236</v>
      </c>
      <c r="L12" s="217"/>
      <c r="M12" s="369" t="s">
        <v>237</v>
      </c>
      <c r="N12" s="811" t="s">
        <v>238</v>
      </c>
      <c r="O12" s="812"/>
      <c r="P12" s="219" t="s">
        <v>285</v>
      </c>
      <c r="Q12" s="220"/>
      <c r="R12" s="220"/>
      <c r="S12" s="220"/>
      <c r="T12" s="220"/>
      <c r="U12" s="220"/>
      <c r="V12" s="221"/>
      <c r="W12" s="813">
        <v>44047</v>
      </c>
      <c r="X12" s="814"/>
      <c r="Y12" s="296"/>
      <c r="Z12" s="296"/>
      <c r="AA12" s="296"/>
      <c r="AB12" s="296"/>
      <c r="AC12" s="296"/>
      <c r="AD12" s="296"/>
      <c r="AE12" s="296"/>
      <c r="AF12" s="296"/>
      <c r="AG12" s="296"/>
      <c r="AH12" s="296"/>
      <c r="AI12" s="296"/>
      <c r="AJ12" s="296"/>
      <c r="AK12" s="296"/>
      <c r="AL12" s="296"/>
      <c r="AM12" s="296"/>
      <c r="AN12" s="296"/>
      <c r="AO12" s="296"/>
      <c r="AP12" s="29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</row>
    <row r="14" spans="9:81" s="222" customFormat="1" ht="18.600000000000001" customHeight="1">
      <c r="I14" s="246"/>
      <c r="J14" s="246"/>
      <c r="K14" s="238"/>
      <c r="L14" s="307" t="s">
        <v>288</v>
      </c>
      <c r="M14" s="358"/>
      <c r="N14" s="255"/>
      <c r="O14" s="372"/>
      <c r="P14" s="372"/>
      <c r="Q14" s="372"/>
      <c r="R14" s="358"/>
      <c r="S14" s="251"/>
      <c r="T14" s="309" t="s">
        <v>7</v>
      </c>
      <c r="U14" s="840" t="s">
        <v>289</v>
      </c>
      <c r="V14" s="822"/>
      <c r="W14" s="310" t="s">
        <v>8</v>
      </c>
      <c r="X14" s="311">
        <v>4</v>
      </c>
      <c r="Y14" s="238"/>
      <c r="Z14" s="312"/>
      <c r="AA14" s="312"/>
      <c r="AB14" s="312"/>
      <c r="AC14" s="312"/>
      <c r="AD14" s="312"/>
      <c r="AE14" s="312"/>
      <c r="AF14" s="312"/>
      <c r="AG14" s="312"/>
      <c r="AH14" s="312"/>
      <c r="AI14" s="312"/>
      <c r="AJ14" s="312"/>
      <c r="AK14" s="312"/>
      <c r="AL14" s="312"/>
      <c r="AM14" s="312"/>
      <c r="AN14" s="312"/>
      <c r="AO14" s="312"/>
      <c r="AP14" s="312"/>
      <c r="AQ14" s="248"/>
      <c r="AR14" s="248"/>
      <c r="AS14" s="248"/>
      <c r="AT14" s="248"/>
      <c r="AU14" s="248"/>
      <c r="AV14" s="248"/>
      <c r="AW14" s="248"/>
      <c r="AX14" s="246"/>
      <c r="AY14" s="232"/>
      <c r="AZ14" s="246"/>
      <c r="BA14" s="246"/>
      <c r="BB14" s="232"/>
      <c r="BC14" s="247" t="s">
        <v>8</v>
      </c>
      <c r="BD14" s="249" t="e">
        <f>mediçao</f>
        <v>#REF!</v>
      </c>
      <c r="BF14" s="246"/>
      <c r="BG14" s="246"/>
      <c r="BH14" s="246"/>
      <c r="BI14" s="246"/>
      <c r="BJ14" s="246"/>
      <c r="BK14" s="246"/>
      <c r="BL14" s="246"/>
      <c r="BM14" s="246"/>
      <c r="BN14" s="246"/>
      <c r="BO14" s="246"/>
      <c r="BP14" s="246"/>
      <c r="BQ14" s="246"/>
      <c r="BR14" s="246"/>
      <c r="BS14" s="246"/>
      <c r="BT14" s="246"/>
      <c r="BU14" s="246"/>
      <c r="BV14" s="246"/>
      <c r="BW14" s="246"/>
      <c r="BX14" s="246"/>
      <c r="BY14" s="246"/>
      <c r="BZ14" s="246"/>
      <c r="CA14" s="246"/>
      <c r="CB14" s="246"/>
      <c r="CC14" s="246" t="s">
        <v>9</v>
      </c>
    </row>
    <row r="15" spans="9:81" s="222" customFormat="1" ht="16.2" customHeight="1">
      <c r="I15" s="250" t="str">
        <f>RegimeExecucao</f>
        <v>Unitário</v>
      </c>
      <c r="J15" s="250"/>
      <c r="K15" s="238"/>
      <c r="L15" s="313" t="s">
        <v>268</v>
      </c>
      <c r="M15" s="372"/>
      <c r="N15" s="372"/>
      <c r="O15" s="823"/>
      <c r="P15" s="823"/>
      <c r="Q15" s="823"/>
      <c r="R15" s="823"/>
      <c r="S15" s="251"/>
      <c r="T15" s="371"/>
      <c r="U15" s="251"/>
      <c r="V15" s="251"/>
      <c r="W15" s="252"/>
      <c r="X15" s="310"/>
      <c r="Y15" s="238"/>
      <c r="Z15" s="315"/>
      <c r="AA15" s="316"/>
      <c r="AB15" s="316"/>
      <c r="AC15" s="316"/>
      <c r="AD15" s="316"/>
      <c r="AE15" s="805" t="s">
        <v>10</v>
      </c>
      <c r="AF15" s="805"/>
      <c r="AG15" s="316"/>
      <c r="AH15" s="316"/>
      <c r="AI15" s="316"/>
      <c r="AJ15" s="316"/>
      <c r="AK15" s="317"/>
      <c r="AL15" s="315"/>
      <c r="AM15" s="316"/>
      <c r="AN15" s="316"/>
      <c r="AO15" s="316"/>
      <c r="AP15" s="316"/>
      <c r="AQ15" s="806" t="s">
        <v>10</v>
      </c>
      <c r="AR15" s="806"/>
      <c r="AS15" s="253"/>
      <c r="AT15" s="253"/>
      <c r="AU15" s="253"/>
      <c r="AV15" s="253"/>
      <c r="AW15" s="254"/>
      <c r="AX15" s="246"/>
      <c r="AY15" s="255"/>
      <c r="AZ15" s="255"/>
      <c r="BA15" s="255"/>
      <c r="BB15" s="255"/>
      <c r="BC15" s="255"/>
      <c r="BD15" s="255"/>
      <c r="BF15" s="798" t="s">
        <v>11</v>
      </c>
      <c r="BG15" s="799"/>
      <c r="BH15" s="799"/>
      <c r="BI15" s="246"/>
      <c r="BJ15" s="246"/>
      <c r="BK15" s="246"/>
      <c r="BL15" s="246"/>
      <c r="BM15" s="246"/>
      <c r="BN15" s="246"/>
      <c r="BO15" s="246"/>
      <c r="BP15" s="246"/>
      <c r="BQ15" s="246"/>
      <c r="BR15" s="246"/>
      <c r="BS15" s="246"/>
      <c r="BT15" s="246"/>
      <c r="BU15" s="246"/>
      <c r="BV15" s="246"/>
      <c r="BW15" s="246"/>
      <c r="BX15" s="246"/>
      <c r="BY15" s="246"/>
      <c r="BZ15" s="246"/>
      <c r="CA15" s="256"/>
      <c r="CB15" s="246"/>
      <c r="CC15" s="246" t="s">
        <v>12</v>
      </c>
    </row>
    <row r="16" spans="9:81" s="222" customFormat="1" ht="41.4">
      <c r="I16" s="257"/>
      <c r="J16" s="257"/>
      <c r="K16" s="257"/>
      <c r="L16" s="800" t="s">
        <v>13</v>
      </c>
      <c r="M16" s="801"/>
      <c r="N16" s="362"/>
      <c r="O16" s="362"/>
      <c r="P16" s="362"/>
      <c r="Q16" s="362"/>
      <c r="R16" s="240"/>
      <c r="S16" s="800" t="str">
        <f>"Evolução Física "&amp;CHOOSE(MATCH(RegimeExecucao,{"Unitário","Global"},0),"(Qtde.)","(%)")</f>
        <v>Evolução Física (Qtde.)</v>
      </c>
      <c r="T16" s="801"/>
      <c r="U16" s="802"/>
      <c r="V16" s="800" t="s">
        <v>14</v>
      </c>
      <c r="W16" s="801"/>
      <c r="X16" s="802"/>
      <c r="Y16" s="258"/>
      <c r="Z16" s="259">
        <v>44077</v>
      </c>
      <c r="AA16" s="259">
        <v>44131</v>
      </c>
      <c r="AB16" s="259"/>
      <c r="AC16" s="259"/>
      <c r="AD16" s="259"/>
      <c r="AE16" s="259"/>
      <c r="AF16" s="259"/>
      <c r="AG16" s="259"/>
      <c r="AH16" s="259"/>
      <c r="AI16" s="259"/>
      <c r="AJ16" s="259"/>
      <c r="AK16" s="259"/>
      <c r="AL16" s="259"/>
      <c r="AM16" s="259"/>
      <c r="AN16" s="259"/>
      <c r="AO16" s="259"/>
      <c r="AP16" s="259"/>
      <c r="AQ16" s="259"/>
      <c r="AR16" s="259"/>
      <c r="AS16" s="259"/>
      <c r="AT16" s="259"/>
      <c r="AU16" s="259"/>
      <c r="AV16" s="259"/>
      <c r="AW16" s="259"/>
      <c r="AX16" s="257"/>
      <c r="AY16" s="800" t="str">
        <f>"Aferição Física "&amp;CHOOSE(MATCH(RegimeExecucao,{"Unitário","Global"},0),"(Qtde.)","(%)")</f>
        <v>Aferição Física (Qtde.)</v>
      </c>
      <c r="AZ16" s="801"/>
      <c r="BA16" s="802"/>
      <c r="BB16" s="800" t="s">
        <v>15</v>
      </c>
      <c r="BC16" s="801"/>
      <c r="BD16" s="802"/>
      <c r="BF16" s="803" t="s">
        <v>16</v>
      </c>
      <c r="BG16" s="804"/>
      <c r="BH16" s="804"/>
      <c r="BI16" s="362"/>
      <c r="BJ16" s="362"/>
      <c r="BK16" s="362"/>
      <c r="BL16" s="362"/>
      <c r="BM16" s="362"/>
      <c r="BN16" s="362"/>
      <c r="BO16" s="362"/>
      <c r="BP16" s="362"/>
      <c r="BQ16" s="362"/>
      <c r="BR16" s="362"/>
      <c r="BS16" s="362"/>
      <c r="BT16" s="362"/>
      <c r="BU16" s="362"/>
      <c r="BV16" s="362"/>
      <c r="BW16" s="362"/>
      <c r="BX16" s="362"/>
      <c r="BY16" s="362"/>
      <c r="BZ16" s="362"/>
      <c r="CA16" s="240"/>
      <c r="CB16" s="257"/>
      <c r="CC16" s="257" t="s">
        <v>17</v>
      </c>
    </row>
    <row r="17" spans="1:81" s="222" customFormat="1" ht="41.4">
      <c r="A17" s="260" t="s">
        <v>18</v>
      </c>
      <c r="B17" s="260" t="s">
        <v>19</v>
      </c>
      <c r="C17" s="260" t="s">
        <v>20</v>
      </c>
      <c r="D17" s="260" t="s">
        <v>21</v>
      </c>
      <c r="E17" s="260" t="s">
        <v>22</v>
      </c>
      <c r="F17" s="260" t="s">
        <v>23</v>
      </c>
      <c r="G17" s="260" t="s">
        <v>24</v>
      </c>
      <c r="H17" s="260" t="s">
        <v>25</v>
      </c>
      <c r="I17" s="260" t="s">
        <v>26</v>
      </c>
      <c r="J17" s="260"/>
      <c r="K17" s="260" t="s">
        <v>18</v>
      </c>
      <c r="L17" s="260" t="s">
        <v>27</v>
      </c>
      <c r="M17" s="260" t="s">
        <v>28</v>
      </c>
      <c r="N17" s="260" t="s">
        <v>29</v>
      </c>
      <c r="O17" s="260" t="s">
        <v>30</v>
      </c>
      <c r="P17" s="260" t="s">
        <v>31</v>
      </c>
      <c r="Q17" s="260" t="s">
        <v>32</v>
      </c>
      <c r="R17" s="260" t="s">
        <v>32</v>
      </c>
      <c r="S17" s="260" t="s">
        <v>33</v>
      </c>
      <c r="T17" s="260" t="s">
        <v>34</v>
      </c>
      <c r="U17" s="260" t="s">
        <v>35</v>
      </c>
      <c r="V17" s="361" t="s">
        <v>33</v>
      </c>
      <c r="W17" s="260" t="s">
        <v>34</v>
      </c>
      <c r="X17" s="260" t="s">
        <v>35</v>
      </c>
      <c r="Y17" s="233"/>
      <c r="Z17" s="262">
        <v>1</v>
      </c>
      <c r="AA17" s="262">
        <f ca="1">OFFSET(AA17,0,-1)+1</f>
        <v>2</v>
      </c>
      <c r="AB17" s="263">
        <f t="shared" ref="AB17:AW17" ca="1" si="0">OFFSET(AB17,0,-1)+1</f>
        <v>3</v>
      </c>
      <c r="AC17" s="263">
        <f t="shared" ca="1" si="0"/>
        <v>4</v>
      </c>
      <c r="AD17" s="263">
        <f t="shared" ca="1" si="0"/>
        <v>5</v>
      </c>
      <c r="AE17" s="263">
        <f t="shared" ca="1" si="0"/>
        <v>6</v>
      </c>
      <c r="AF17" s="263">
        <f t="shared" ca="1" si="0"/>
        <v>7</v>
      </c>
      <c r="AG17" s="263">
        <f t="shared" ca="1" si="0"/>
        <v>8</v>
      </c>
      <c r="AH17" s="263">
        <f t="shared" ca="1" si="0"/>
        <v>9</v>
      </c>
      <c r="AI17" s="263">
        <f t="shared" ca="1" si="0"/>
        <v>10</v>
      </c>
      <c r="AJ17" s="263">
        <f t="shared" ca="1" si="0"/>
        <v>11</v>
      </c>
      <c r="AK17" s="263">
        <f t="shared" ca="1" si="0"/>
        <v>12</v>
      </c>
      <c r="AL17" s="263">
        <f t="shared" ca="1" si="0"/>
        <v>13</v>
      </c>
      <c r="AM17" s="263">
        <f t="shared" ca="1" si="0"/>
        <v>14</v>
      </c>
      <c r="AN17" s="263">
        <f t="shared" ca="1" si="0"/>
        <v>15</v>
      </c>
      <c r="AO17" s="263">
        <f t="shared" ca="1" si="0"/>
        <v>16</v>
      </c>
      <c r="AP17" s="263">
        <f t="shared" ca="1" si="0"/>
        <v>17</v>
      </c>
      <c r="AQ17" s="263">
        <f t="shared" ca="1" si="0"/>
        <v>18</v>
      </c>
      <c r="AR17" s="263">
        <f t="shared" ca="1" si="0"/>
        <v>19</v>
      </c>
      <c r="AS17" s="263">
        <f t="shared" ca="1" si="0"/>
        <v>20</v>
      </c>
      <c r="AT17" s="263">
        <f t="shared" ca="1" si="0"/>
        <v>21</v>
      </c>
      <c r="AU17" s="263">
        <f t="shared" ca="1" si="0"/>
        <v>22</v>
      </c>
      <c r="AV17" s="263">
        <f t="shared" ca="1" si="0"/>
        <v>23</v>
      </c>
      <c r="AW17" s="263">
        <f t="shared" ca="1" si="0"/>
        <v>24</v>
      </c>
      <c r="AX17" s="264"/>
      <c r="AY17" s="260" t="s">
        <v>33</v>
      </c>
      <c r="AZ17" s="260" t="s">
        <v>34</v>
      </c>
      <c r="BA17" s="260" t="s">
        <v>35</v>
      </c>
      <c r="BB17" s="361" t="s">
        <v>33</v>
      </c>
      <c r="BC17" s="260" t="s">
        <v>34</v>
      </c>
      <c r="BD17" s="260" t="s">
        <v>35</v>
      </c>
      <c r="BF17" s="789" t="s">
        <v>36</v>
      </c>
      <c r="BG17" s="790"/>
      <c r="BH17" s="265" t="str">
        <f>M17</f>
        <v>Discriminação</v>
      </c>
      <c r="BI17" s="789" t="s">
        <v>29</v>
      </c>
      <c r="BJ17" s="790"/>
      <c r="BK17" s="789" t="str">
        <f>CHOOSE(MATCH(RegimeExecucao,{"Unitário","Global"},0),"Quant. Glosada (unid)","Percentual Glosado (%)")</f>
        <v>Quant. Glosada (unid)</v>
      </c>
      <c r="BL17" s="791"/>
      <c r="BM17" s="790"/>
      <c r="BN17" s="789" t="str">
        <f>CHOOSE(MATCH(RegimeExecucao,{"Unitário","Global"},0),"Preço Unitário (R$)","Valor Total do Item (R$)")</f>
        <v>Preço Unitário (R$)</v>
      </c>
      <c r="BO17" s="791"/>
      <c r="BP17" s="791"/>
      <c r="BQ17" s="790"/>
      <c r="BR17" s="792" t="s">
        <v>37</v>
      </c>
      <c r="BS17" s="793"/>
      <c r="BT17" s="793"/>
      <c r="BU17" s="794"/>
      <c r="BV17" s="795" t="s">
        <v>38</v>
      </c>
      <c r="BW17" s="796"/>
      <c r="BX17" s="796"/>
      <c r="BY17" s="796"/>
      <c r="BZ17" s="796"/>
      <c r="CA17" s="797"/>
      <c r="CB17" s="264"/>
      <c r="CC17" s="264"/>
    </row>
    <row r="18" spans="1:81" s="222" customFormat="1" ht="16.8" customHeight="1">
      <c r="B18" s="222">
        <f ca="1">COUNTA(OFFSET(B18,1,0):B$119)</f>
        <v>78</v>
      </c>
      <c r="I18" s="234"/>
      <c r="J18" s="234"/>
      <c r="K18" s="318"/>
      <c r="L18" s="824"/>
      <c r="M18" s="825"/>
      <c r="N18" s="826"/>
      <c r="O18" s="824" t="s">
        <v>39</v>
      </c>
      <c r="P18" s="826"/>
      <c r="Q18" s="319">
        <f>$R18</f>
        <v>185801.47100000002</v>
      </c>
      <c r="R18" s="319">
        <f>SUM(R19+R22+R25+R38+R40+R46+R50+R58+R69+R74+R80+R90+R92)</f>
        <v>185801.47100000002</v>
      </c>
      <c r="S18" s="319">
        <f ca="1">SUM(S19+S22+S25+S38+S40+S46+S50+S58+S69+S74+S80+S90+S92)</f>
        <v>0</v>
      </c>
      <c r="T18" s="319"/>
      <c r="U18" s="242">
        <f>IF($X$18=0,0,IF(RegimeExecucao="Global",X18/$R18*100,0))</f>
        <v>0</v>
      </c>
      <c r="V18" s="319">
        <f>SUM(V19+V22+V25+V38+V40+V46+V50+V58+V69+V74+V80+V90+V92)</f>
        <v>44226.475529042087</v>
      </c>
      <c r="W18" s="319">
        <f>SUM(W19+W22+W25+W38+W40+W46+W50+W58+W69+W74+W80+W90+W92)</f>
        <v>14829.665194636014</v>
      </c>
      <c r="X18" s="242">
        <f>V18+W18</f>
        <v>59056.140723678101</v>
      </c>
      <c r="Y18" s="320"/>
      <c r="Z18" s="321"/>
      <c r="AA18" s="322"/>
      <c r="AB18" s="322"/>
      <c r="AC18" s="785" t="str">
        <f>"Preencher abaixo com a "&amp;CHOOSE(MATCH(RegimeExecucao,{"Unitário","Global"},0),"QUANTIDADE","PERCENTAGEM")&amp;" executada no PERÍODO"</f>
        <v>Preencher abaixo com a QUANTIDADE executada no PERÍODO</v>
      </c>
      <c r="AD18" s="785"/>
      <c r="AE18" s="785"/>
      <c r="AF18" s="785"/>
      <c r="AG18" s="785"/>
      <c r="AH18" s="785"/>
      <c r="AI18" s="322"/>
      <c r="AJ18" s="322"/>
      <c r="AK18" s="323"/>
      <c r="AL18" s="321"/>
      <c r="AM18" s="322"/>
      <c r="AN18" s="322"/>
      <c r="AO18" s="786" t="str">
        <f>"Preencher abaixo com a "&amp;CHOOSE(MATCH(RegimeExecucao,{"Unitário","Global"},0),"QUANTIDADE","PERCENTAGEM")&amp;" executada no PERÍODO"</f>
        <v>Preencher abaixo com a QUANTIDADE executada no PERÍODO</v>
      </c>
      <c r="AP18" s="786"/>
      <c r="AQ18" s="786"/>
      <c r="AR18" s="786"/>
      <c r="AS18" s="786"/>
      <c r="AT18" s="786"/>
      <c r="AU18" s="266"/>
      <c r="AV18" s="266"/>
      <c r="AW18" s="267"/>
      <c r="AX18" s="234"/>
      <c r="AY18" s="241" t="e">
        <f ca="1">IF(BB18=0,0,IF(RegimeExecucao="Global",BB18/$R18*100,0))</f>
        <v>#REF!</v>
      </c>
      <c r="AZ18" s="243" t="e">
        <f ca="1">BA18-AY18</f>
        <v>#REF!</v>
      </c>
      <c r="BA18" s="242" t="e">
        <f ca="1">IF(BD18=0,0,IF(RegimeExecucao="Global",BD18/$R18*100,0))</f>
        <v>#REF!</v>
      </c>
      <c r="BB18" s="244" t="e">
        <f ca="1">SUMIF(OFFSET(K18,1,0):K96,"serviço",OFFSET(BB18,1,0):BB$96)</f>
        <v>#REF!</v>
      </c>
      <c r="BC18" s="242" t="e">
        <f ca="1">BD18-BB18</f>
        <v>#REF!</v>
      </c>
      <c r="BD18" s="242" t="e">
        <f ca="1">SUMIF(OFFSET($K18,1,0):K96,"serviço",OFFSET(BD18,1,0):BD$96)</f>
        <v>#REF!</v>
      </c>
      <c r="BF18" s="787"/>
      <c r="BG18" s="787"/>
      <c r="BH18" s="268" t="s">
        <v>39</v>
      </c>
      <c r="BI18" s="788"/>
      <c r="BJ18" s="788"/>
      <c r="BK18" s="782" t="e">
        <f ca="1">IF(BR18=0,0,IF(RegimeExecucao="Global",BR18/$R18*100,0))</f>
        <v>#REF!</v>
      </c>
      <c r="BL18" s="782">
        <f>IF(BO18=0,0,IF(RegimeExecucao="Global",BO18/$R18*100,0))</f>
        <v>0</v>
      </c>
      <c r="BM18" s="782">
        <f>IF(BP18=0,0,IF(RegimeExecucao="Global",BP18/$R18*100,0))</f>
        <v>0</v>
      </c>
      <c r="BN18" s="783" t="e">
        <f ca="1">IF(AND($A18="S",BR18&gt;0),CHOOSE(MATCH(RegimeExecucao,{"Unitário","Global"},0),ROUND(P18,arredunit),ROUND(R18,arredtot)),"")</f>
        <v>#REF!</v>
      </c>
      <c r="BO18" s="783"/>
      <c r="BP18" s="783"/>
      <c r="BQ18" s="783"/>
      <c r="BR18" s="783" t="e">
        <f t="shared" ref="BR18:BR81" ca="1" si="1">$X18-$BD18</f>
        <v>#REF!</v>
      </c>
      <c r="BS18" s="783"/>
      <c r="BT18" s="783"/>
      <c r="BU18" s="783"/>
      <c r="BV18" s="784"/>
      <c r="BW18" s="784"/>
      <c r="BX18" s="784"/>
      <c r="BY18" s="784"/>
      <c r="BZ18" s="784"/>
      <c r="CA18" s="784"/>
      <c r="CB18" s="234"/>
      <c r="CC18" s="234"/>
    </row>
    <row r="19" spans="1:81" s="222" customFormat="1" ht="18" customHeight="1">
      <c r="A19" s="222">
        <f>CHOOSE(1+LOG(1+2*(K19="Meta")+4*(K19="Nível 2")+8*(K19="Nível 3")+16*(K19="Nível 4")+32*(K19="Serviço"),2),0,1,2,3,4,"S")</f>
        <v>1</v>
      </c>
      <c r="B19" s="222">
        <f ca="1">IF(OR(A19="S",A19=0),0,IF(ISERROR(I19),H19,SMALL(H19:I19,1)))</f>
        <v>3</v>
      </c>
      <c r="C19" s="222">
        <f t="shared" ref="C19:C82" ca="1" si="2">IF($A19=1,OFFSET(C19,-1,0)+1,OFFSET(C19,-1,0))</f>
        <v>1</v>
      </c>
      <c r="D19" s="222">
        <f t="shared" ref="D19:D82" ca="1" si="3">IF($A19=1,0,IF($A19=2,OFFSET(D19,-1,0)+1,OFFSET(D19,-1,0)))</f>
        <v>0</v>
      </c>
      <c r="E19" s="222">
        <f t="shared" ref="E19:E82" ca="1" si="4">IF(AND($A19&lt;=2,$A19&lt;&gt;0),0,IF($A19=3,OFFSET(E19,-1,0)+1,OFFSET(E19,-1,0)))</f>
        <v>0</v>
      </c>
      <c r="F19" s="222">
        <f t="shared" ref="F19:F82" ca="1" si="5">IF(AND($A19&lt;=3,$A19&lt;&gt;0),0,IF($A19=4,OFFSET(F19,-1,0)+1,OFFSET(F19,-1,0)))</f>
        <v>0</v>
      </c>
      <c r="G19" s="222">
        <f t="shared" ref="G19:G82" ca="1" si="6">IF(AND($A19&lt;=4,$A19&lt;&gt;0),0,IF($A19="S",OFFSET(G19,-1,0)+1,OFFSET(G19,-1,0)))</f>
        <v>0</v>
      </c>
      <c r="H19" s="222">
        <f t="shared" ref="H19:H82" ca="1" si="7">IF(OR($A19="S",$A19=0),0,MATCH(0,OFFSET($B19,1,$A19,ROW($A$96)-ROW($A19)),0))</f>
        <v>77</v>
      </c>
      <c r="I19" s="222">
        <f t="shared" ref="I19:I82" ca="1" si="8">IF(OR($A19="S",$A19=0),0,MATCH(OFFSET($B19,0,$A19)+1,OFFSET($B19,1,$A19,ROW($A$96)-ROW($A19)),0))</f>
        <v>3</v>
      </c>
      <c r="J19" s="222">
        <f t="shared" ref="J19:J82" si="9">LEN(LEFT($L19,LEN($L19)-1*(RIGHT($L19,1)=".")))-LEN(SUBSTITUTE(LEFT($L19,LEN($L19)-1*(RIGHT($L19,1)=".")),".",""))</f>
        <v>0</v>
      </c>
      <c r="K19" s="269" t="s">
        <v>0</v>
      </c>
      <c r="L19" s="324">
        <v>1</v>
      </c>
      <c r="M19" s="325" t="s">
        <v>40</v>
      </c>
      <c r="N19" s="326"/>
      <c r="O19" s="327"/>
      <c r="P19" s="328"/>
      <c r="Q19" s="329">
        <f>IF($A19="S",0,$R19)</f>
        <v>8356.7099999999991</v>
      </c>
      <c r="R19" s="330">
        <f>SUM(R20:R21)</f>
        <v>8356.7099999999991</v>
      </c>
      <c r="S19" s="331">
        <f ca="1">IF(AND($A19="S",COUNTIF($Z$17:$AW$17,mediçao-1)&gt;0),SUM(OFFSET($Z19,0,0,1,MATCH(mediçao-1,$Z$17:$AW$17,0))),IF(AND(RegimeExecucao="Global",$R19&gt;0,COUNTIF($Z$17:$AW$17,mediçao-1)&gt;0),V19/$R19*100,0))</f>
        <v>0</v>
      </c>
      <c r="T19" s="330">
        <f>SUM(T20:T21)</f>
        <v>0</v>
      </c>
      <c r="U19" s="332">
        <f ca="1">IF(AND($A19="S",COUNTIF($Z$17:$AW$17,mediçao)&gt;0),SUM(OFFSET($Z19,0,0,1,MATCH(mediçao,$Z$17:$AW$17,0))),IF(AND(RegimeExecucao="Global",$R19&gt;0,COUNTIF($Z$17:$AW$17,mediçao)&gt;0),X19/$R19*100,0))</f>
        <v>0</v>
      </c>
      <c r="V19" s="330">
        <f>SUM(V20:V21)</f>
        <v>8356.7100000000009</v>
      </c>
      <c r="W19" s="330">
        <f>SUM(W20:W21)</f>
        <v>0</v>
      </c>
      <c r="X19" s="293">
        <f>V19+W19</f>
        <v>8356.7100000000009</v>
      </c>
      <c r="Y19" s="333"/>
      <c r="Z19" s="334"/>
      <c r="AA19" s="328"/>
      <c r="AB19" s="328"/>
      <c r="AC19" s="328"/>
      <c r="AD19" s="328"/>
      <c r="AE19" s="328"/>
      <c r="AF19" s="328"/>
      <c r="AG19" s="328"/>
      <c r="AH19" s="328"/>
      <c r="AI19" s="328"/>
      <c r="AJ19" s="328"/>
      <c r="AK19" s="335"/>
      <c r="AL19" s="334"/>
      <c r="AM19" s="328"/>
      <c r="AN19" s="328"/>
      <c r="AO19" s="328"/>
      <c r="AP19" s="328"/>
      <c r="AQ19" s="271"/>
      <c r="AR19" s="271"/>
      <c r="AS19" s="271"/>
      <c r="AT19" s="271"/>
      <c r="AU19" s="271"/>
      <c r="AV19" s="271"/>
      <c r="AW19" s="272"/>
      <c r="AX19" s="245"/>
      <c r="AY19" s="273">
        <v>0</v>
      </c>
      <c r="AZ19" s="274">
        <f>BA19-AY19</f>
        <v>0</v>
      </c>
      <c r="BA19" s="275">
        <v>0</v>
      </c>
      <c r="BB19" s="276" t="e">
        <f t="shared" ref="BB19:BB82" ca="1" si="10">IF($A19="S",VTOTAL,IF($A19=0,0,ROUND(SomaAgrup,arredtot)))</f>
        <v>#REF!</v>
      </c>
      <c r="BC19" s="277" t="e">
        <f ca="1">BD19-BB19</f>
        <v>#REF!</v>
      </c>
      <c r="BD19" s="278" t="e">
        <f t="shared" ref="BD19:BD82" ca="1" si="11">IF($A19="S",VTOTAL,IF($A19=0,0,ROUND(SomaAgrup,arredtot)))</f>
        <v>#REF!</v>
      </c>
      <c r="BF19" s="770" t="e">
        <f ca="1">IF(BK19&gt;0,L19,"")</f>
        <v>#REF!</v>
      </c>
      <c r="BG19" s="771"/>
      <c r="BH19" s="279" t="e">
        <f ca="1">IF(BK19&gt;0,M19,"")</f>
        <v>#REF!</v>
      </c>
      <c r="BI19" s="772" t="e">
        <f ca="1">IF(BK19&gt;0,N19,"")</f>
        <v>#REF!</v>
      </c>
      <c r="BJ19" s="773"/>
      <c r="BK19" s="774" t="e">
        <f ca="1">IF(BR19&gt;0,CHOOSE(MATCH(RegimeExecucao,{"Unitário","Global"},0),IF($A19="S",BR19/BN19,""),(BR19/BN19)*100),"")</f>
        <v>#REF!</v>
      </c>
      <c r="BL19" s="775"/>
      <c r="BM19" s="776"/>
      <c r="BN19" s="777" t="e">
        <f ca="1">IF(BR19&gt;0,CHOOSE(MATCH(RegimeExecucao,{"Unitário","Global"},0),IF($A19="S",ROUND(P19,arredunit),""),ROUND(R19,arredtot)),"")</f>
        <v>#REF!</v>
      </c>
      <c r="BO19" s="778"/>
      <c r="BP19" s="778"/>
      <c r="BQ19" s="779"/>
      <c r="BR19" s="777" t="e">
        <f t="shared" ca="1" si="1"/>
        <v>#REF!</v>
      </c>
      <c r="BS19" s="778"/>
      <c r="BT19" s="778"/>
      <c r="BU19" s="779"/>
      <c r="BV19" s="780"/>
      <c r="BW19" s="780"/>
      <c r="BX19" s="780"/>
      <c r="BY19" s="780"/>
      <c r="BZ19" s="780"/>
      <c r="CA19" s="781"/>
      <c r="CB19" s="245"/>
      <c r="CC19" s="245"/>
    </row>
    <row r="20" spans="1:81" s="222" customFormat="1" ht="42.6" customHeight="1">
      <c r="A20" s="222" t="str">
        <f t="shared" ref="A20:A83" si="12">CHOOSE(1+LOG(1+2*(K20="Meta")+4*(K20="Nível 2")+8*(K20="Nível 3")+16*(K20="Nível 4")+32*(K20="Serviço"),2),0,1,2,3,4,"S")</f>
        <v>S</v>
      </c>
      <c r="B20" s="222">
        <f t="shared" ref="B20:B83" si="13">IF(OR(A20="S",A20=0),0,IF(ISERROR(I20),H20,SMALL(H20:I20,1)))</f>
        <v>0</v>
      </c>
      <c r="C20" s="222">
        <f t="shared" ca="1" si="2"/>
        <v>1</v>
      </c>
      <c r="D20" s="222">
        <f t="shared" ca="1" si="3"/>
        <v>0</v>
      </c>
      <c r="E20" s="222">
        <f t="shared" ca="1" si="4"/>
        <v>0</v>
      </c>
      <c r="F20" s="222">
        <f t="shared" ca="1" si="5"/>
        <v>0</v>
      </c>
      <c r="G20" s="222">
        <f t="shared" ca="1" si="6"/>
        <v>1</v>
      </c>
      <c r="H20" s="222">
        <f t="shared" ca="1" si="7"/>
        <v>0</v>
      </c>
      <c r="I20" s="222">
        <f t="shared" ca="1" si="8"/>
        <v>0</v>
      </c>
      <c r="J20" s="222">
        <f t="shared" si="9"/>
        <v>1</v>
      </c>
      <c r="K20" s="269" t="s">
        <v>4</v>
      </c>
      <c r="L20" s="336" t="s">
        <v>41</v>
      </c>
      <c r="M20" s="325" t="s">
        <v>42</v>
      </c>
      <c r="N20" s="326" t="s">
        <v>43</v>
      </c>
      <c r="O20" s="327">
        <v>9.9999329915904429</v>
      </c>
      <c r="P20" s="328">
        <v>596.94000000000005</v>
      </c>
      <c r="Q20" s="329">
        <f t="shared" ref="Q20:Q83" si="14">IF($A20="S",0,$R20)</f>
        <v>0</v>
      </c>
      <c r="R20" s="330">
        <f>P20*O20</f>
        <v>5969.36</v>
      </c>
      <c r="S20" s="331">
        <f>Z20+AA20+AB20</f>
        <v>10</v>
      </c>
      <c r="T20" s="337">
        <f>AC20</f>
        <v>0</v>
      </c>
      <c r="U20" s="332">
        <f>S20+T20</f>
        <v>10</v>
      </c>
      <c r="V20" s="338">
        <f>P20*S20-0.04</f>
        <v>5969.3600000000006</v>
      </c>
      <c r="W20" s="339">
        <f>IF(O20-AB20&gt;0.01,AB20*P20,R20)</f>
        <v>0</v>
      </c>
      <c r="X20" s="340">
        <f>V20+W20</f>
        <v>5969.3600000000006</v>
      </c>
      <c r="Y20" s="333"/>
      <c r="Z20" s="334">
        <v>10</v>
      </c>
      <c r="AA20" s="328"/>
      <c r="AB20" s="328"/>
      <c r="AC20" s="328"/>
      <c r="AD20" s="328"/>
      <c r="AE20" s="328"/>
      <c r="AF20" s="328"/>
      <c r="AG20" s="328"/>
      <c r="AH20" s="328"/>
      <c r="AI20" s="328"/>
      <c r="AJ20" s="328"/>
      <c r="AK20" s="335"/>
      <c r="AL20" s="334"/>
      <c r="AM20" s="328"/>
      <c r="AN20" s="328"/>
      <c r="AO20" s="328"/>
      <c r="AP20" s="328"/>
      <c r="AQ20" s="271"/>
      <c r="AR20" s="271"/>
      <c r="AS20" s="271"/>
      <c r="AT20" s="271"/>
      <c r="AU20" s="271"/>
      <c r="AV20" s="271"/>
      <c r="AW20" s="272"/>
      <c r="AX20" s="245"/>
      <c r="AY20" s="273">
        <v>0</v>
      </c>
      <c r="AZ20" s="274">
        <f t="shared" ref="AZ20:AZ83" si="15">BA20-AY20</f>
        <v>0</v>
      </c>
      <c r="BA20" s="275">
        <v>0</v>
      </c>
      <c r="BB20" s="276" t="e">
        <f t="shared" si="10"/>
        <v>#REF!</v>
      </c>
      <c r="BC20" s="277" t="e">
        <f t="shared" ref="BC20:BC83" si="16">BD20-BB20</f>
        <v>#REF!</v>
      </c>
      <c r="BD20" s="278" t="e">
        <f t="shared" si="11"/>
        <v>#REF!</v>
      </c>
      <c r="BF20" s="770" t="e">
        <f t="shared" ref="BF20:BF83" si="17">IF(BK20&gt;0,L20,"")</f>
        <v>#REF!</v>
      </c>
      <c r="BG20" s="771"/>
      <c r="BH20" s="279" t="e">
        <f t="shared" ref="BH20:BH83" si="18">IF(BK20&gt;0,M20,"")</f>
        <v>#REF!</v>
      </c>
      <c r="BI20" s="772" t="e">
        <f t="shared" ref="BI20:BI83" si="19">IF(BK20&gt;0,N20,"")</f>
        <v>#REF!</v>
      </c>
      <c r="BJ20" s="773"/>
      <c r="BK20" s="774" t="e">
        <f>IF(BR20&gt;0,CHOOSE(MATCH(RegimeExecucao,{"Unitário","Global"},0),IF($A20="S",BR20/BN20,""),(BR20/BN20)*100),"")</f>
        <v>#REF!</v>
      </c>
      <c r="BL20" s="775"/>
      <c r="BM20" s="776"/>
      <c r="BN20" s="777" t="e">
        <f>IF(BR20&gt;0,CHOOSE(MATCH(RegimeExecucao,{"Unitário","Global"},0),IF($A20="S",ROUND(P20,arredunit),""),ROUND(R20,arredtot)),"")</f>
        <v>#REF!</v>
      </c>
      <c r="BO20" s="778"/>
      <c r="BP20" s="778"/>
      <c r="BQ20" s="779"/>
      <c r="BR20" s="777" t="e">
        <f t="shared" si="1"/>
        <v>#REF!</v>
      </c>
      <c r="BS20" s="778"/>
      <c r="BT20" s="778"/>
      <c r="BU20" s="779"/>
      <c r="BV20" s="780"/>
      <c r="BW20" s="780"/>
      <c r="BX20" s="780"/>
      <c r="BY20" s="780"/>
      <c r="BZ20" s="780"/>
      <c r="CA20" s="781"/>
      <c r="CB20" s="245"/>
      <c r="CC20" s="245"/>
    </row>
    <row r="21" spans="1:81" s="222" customFormat="1" ht="15.6" customHeight="1">
      <c r="A21" s="222" t="str">
        <f t="shared" si="12"/>
        <v>S</v>
      </c>
      <c r="B21" s="222">
        <f t="shared" si="13"/>
        <v>0</v>
      </c>
      <c r="C21" s="222">
        <f t="shared" ca="1" si="2"/>
        <v>1</v>
      </c>
      <c r="D21" s="222">
        <f t="shared" ca="1" si="3"/>
        <v>0</v>
      </c>
      <c r="E21" s="222">
        <f t="shared" ca="1" si="4"/>
        <v>0</v>
      </c>
      <c r="F21" s="222">
        <f t="shared" ca="1" si="5"/>
        <v>0</v>
      </c>
      <c r="G21" s="222">
        <f t="shared" ca="1" si="6"/>
        <v>2</v>
      </c>
      <c r="H21" s="222">
        <f t="shared" ca="1" si="7"/>
        <v>0</v>
      </c>
      <c r="I21" s="222">
        <f t="shared" ca="1" si="8"/>
        <v>0</v>
      </c>
      <c r="J21" s="222">
        <f t="shared" si="9"/>
        <v>1</v>
      </c>
      <c r="K21" s="269" t="s">
        <v>4</v>
      </c>
      <c r="L21" s="336" t="s">
        <v>44</v>
      </c>
      <c r="M21" s="325" t="s">
        <v>45</v>
      </c>
      <c r="N21" s="326" t="s">
        <v>43</v>
      </c>
      <c r="O21" s="327">
        <v>6.0000251325743292</v>
      </c>
      <c r="P21" s="328">
        <v>397.89</v>
      </c>
      <c r="Q21" s="329">
        <f t="shared" si="14"/>
        <v>0</v>
      </c>
      <c r="R21" s="330">
        <f t="shared" ref="R21:R84" si="20">P21*O21</f>
        <v>2387.35</v>
      </c>
      <c r="S21" s="331">
        <f>Z21+AA21+AB21</f>
        <v>6</v>
      </c>
      <c r="T21" s="337">
        <f>AC21</f>
        <v>0</v>
      </c>
      <c r="U21" s="332">
        <f t="shared" ref="U21:U84" si="21">S21+T21</f>
        <v>6</v>
      </c>
      <c r="V21" s="338">
        <f>P21*S21+0.01</f>
        <v>2387.3500000000004</v>
      </c>
      <c r="W21" s="339">
        <f t="shared" ref="W21:W84" si="22">IF(O21-AB21&gt;0.01,AB21*P21,R21)</f>
        <v>0</v>
      </c>
      <c r="X21" s="340">
        <f t="shared" ref="X21:X84" si="23">V21+W21</f>
        <v>2387.3500000000004</v>
      </c>
      <c r="Y21" s="333"/>
      <c r="Z21" s="334">
        <v>6</v>
      </c>
      <c r="AA21" s="328"/>
      <c r="AB21" s="328"/>
      <c r="AC21" s="328"/>
      <c r="AD21" s="328"/>
      <c r="AE21" s="328"/>
      <c r="AF21" s="328"/>
      <c r="AG21" s="328"/>
      <c r="AH21" s="328"/>
      <c r="AI21" s="328"/>
      <c r="AJ21" s="328"/>
      <c r="AK21" s="335"/>
      <c r="AL21" s="334"/>
      <c r="AM21" s="328"/>
      <c r="AN21" s="328"/>
      <c r="AO21" s="328"/>
      <c r="AP21" s="328"/>
      <c r="AQ21" s="271"/>
      <c r="AR21" s="271"/>
      <c r="AS21" s="271"/>
      <c r="AT21" s="271"/>
      <c r="AU21" s="271"/>
      <c r="AV21" s="271"/>
      <c r="AW21" s="272"/>
      <c r="AX21" s="245"/>
      <c r="AY21" s="273">
        <v>0</v>
      </c>
      <c r="AZ21" s="274">
        <f t="shared" si="15"/>
        <v>0</v>
      </c>
      <c r="BA21" s="275">
        <v>0</v>
      </c>
      <c r="BB21" s="276" t="e">
        <f t="shared" si="10"/>
        <v>#REF!</v>
      </c>
      <c r="BC21" s="277" t="e">
        <f t="shared" si="16"/>
        <v>#REF!</v>
      </c>
      <c r="BD21" s="278" t="e">
        <f t="shared" si="11"/>
        <v>#REF!</v>
      </c>
      <c r="BF21" s="770" t="e">
        <f t="shared" si="17"/>
        <v>#REF!</v>
      </c>
      <c r="BG21" s="771"/>
      <c r="BH21" s="279" t="e">
        <f t="shared" si="18"/>
        <v>#REF!</v>
      </c>
      <c r="BI21" s="772" t="e">
        <f t="shared" si="19"/>
        <v>#REF!</v>
      </c>
      <c r="BJ21" s="773"/>
      <c r="BK21" s="774" t="e">
        <f>IF(BR21&gt;0,CHOOSE(MATCH(RegimeExecucao,{"Unitário","Global"},0),IF($A21="S",BR21/BN21,""),(BR21/BN21)*100),"")</f>
        <v>#REF!</v>
      </c>
      <c r="BL21" s="775"/>
      <c r="BM21" s="776"/>
      <c r="BN21" s="777" t="e">
        <f>IF(BR21&gt;0,CHOOSE(MATCH(RegimeExecucao,{"Unitário","Global"},0),IF($A21="S",ROUND(P21,arredunit),""),ROUND(R21,arredtot)),"")</f>
        <v>#REF!</v>
      </c>
      <c r="BO21" s="778"/>
      <c r="BP21" s="778"/>
      <c r="BQ21" s="779"/>
      <c r="BR21" s="777" t="e">
        <f t="shared" si="1"/>
        <v>#REF!</v>
      </c>
      <c r="BS21" s="778"/>
      <c r="BT21" s="778"/>
      <c r="BU21" s="779"/>
      <c r="BV21" s="780"/>
      <c r="BW21" s="780"/>
      <c r="BX21" s="780"/>
      <c r="BY21" s="780"/>
      <c r="BZ21" s="780"/>
      <c r="CA21" s="781"/>
      <c r="CB21" s="245"/>
      <c r="CC21" s="245"/>
    </row>
    <row r="22" spans="1:81" s="222" customFormat="1" ht="16.8" customHeight="1">
      <c r="A22" s="222">
        <f t="shared" si="12"/>
        <v>1</v>
      </c>
      <c r="B22" s="222">
        <f t="shared" ca="1" si="13"/>
        <v>3</v>
      </c>
      <c r="C22" s="222">
        <f t="shared" ca="1" si="2"/>
        <v>2</v>
      </c>
      <c r="D22" s="222">
        <f t="shared" ca="1" si="3"/>
        <v>0</v>
      </c>
      <c r="E22" s="222">
        <f t="shared" ca="1" si="4"/>
        <v>0</v>
      </c>
      <c r="F22" s="222">
        <f t="shared" ca="1" si="5"/>
        <v>0</v>
      </c>
      <c r="G22" s="222">
        <f t="shared" ca="1" si="6"/>
        <v>0</v>
      </c>
      <c r="H22" s="222">
        <f t="shared" ca="1" si="7"/>
        <v>74</v>
      </c>
      <c r="I22" s="222">
        <f t="shared" ca="1" si="8"/>
        <v>3</v>
      </c>
      <c r="J22" s="222">
        <f t="shared" si="9"/>
        <v>0</v>
      </c>
      <c r="K22" s="269" t="str">
        <f>CHOOSE(1+LOG(1+2*($J22=3)+4*($J22=2)+8*($J22=1)+16*(AND($L22&lt;&gt;"",$L22&lt;&gt;0,$J22=0))+32*OR($N22&lt;&gt;"",RegimeExecucao="Global",AND($L22="",$M22="",$N22="")),2),"","Nível 4","Nível 3","Nível 2","Meta","Serviço")</f>
        <v>Meta</v>
      </c>
      <c r="L22" s="324">
        <v>2</v>
      </c>
      <c r="M22" s="325" t="s">
        <v>46</v>
      </c>
      <c r="N22" s="326"/>
      <c r="O22" s="327"/>
      <c r="P22" s="328"/>
      <c r="Q22" s="329">
        <f t="shared" si="14"/>
        <v>9325.42</v>
      </c>
      <c r="R22" s="330">
        <f>SUM(R23:R24)</f>
        <v>9325.42</v>
      </c>
      <c r="S22" s="331">
        <f>Z22+AA22</f>
        <v>0</v>
      </c>
      <c r="T22" s="339">
        <f>SUM(T23:T24)</f>
        <v>0</v>
      </c>
      <c r="U22" s="332">
        <f t="shared" si="21"/>
        <v>0</v>
      </c>
      <c r="V22" s="338">
        <f>SUM(V23:V24)</f>
        <v>1184.8500000000001</v>
      </c>
      <c r="W22" s="339">
        <f>SUM(W23:W24)</f>
        <v>0</v>
      </c>
      <c r="X22" s="340">
        <f t="shared" si="23"/>
        <v>1184.8500000000001</v>
      </c>
      <c r="Y22" s="333"/>
      <c r="Z22" s="334"/>
      <c r="AA22" s="328"/>
      <c r="AB22" s="328"/>
      <c r="AC22" s="328"/>
      <c r="AD22" s="328"/>
      <c r="AE22" s="328"/>
      <c r="AF22" s="328"/>
      <c r="AG22" s="328"/>
      <c r="AH22" s="328"/>
      <c r="AI22" s="328"/>
      <c r="AJ22" s="328"/>
      <c r="AK22" s="335"/>
      <c r="AL22" s="334"/>
      <c r="AM22" s="328"/>
      <c r="AN22" s="328"/>
      <c r="AO22" s="328"/>
      <c r="AP22" s="328"/>
      <c r="AQ22" s="271"/>
      <c r="AR22" s="271"/>
      <c r="AS22" s="271"/>
      <c r="AT22" s="271"/>
      <c r="AU22" s="271"/>
      <c r="AV22" s="271"/>
      <c r="AW22" s="272"/>
      <c r="AX22" s="245"/>
      <c r="AY22" s="273">
        <v>0</v>
      </c>
      <c r="AZ22" s="274">
        <f t="shared" si="15"/>
        <v>0</v>
      </c>
      <c r="BA22" s="275">
        <v>0</v>
      </c>
      <c r="BB22" s="276" t="e">
        <f t="shared" ca="1" si="10"/>
        <v>#REF!</v>
      </c>
      <c r="BC22" s="277" t="e">
        <f t="shared" ca="1" si="16"/>
        <v>#REF!</v>
      </c>
      <c r="BD22" s="278" t="e">
        <f t="shared" ca="1" si="11"/>
        <v>#REF!</v>
      </c>
      <c r="BF22" s="770" t="e">
        <f t="shared" ca="1" si="17"/>
        <v>#REF!</v>
      </c>
      <c r="BG22" s="771"/>
      <c r="BH22" s="279" t="e">
        <f t="shared" ca="1" si="18"/>
        <v>#REF!</v>
      </c>
      <c r="BI22" s="772" t="e">
        <f t="shared" ca="1" si="19"/>
        <v>#REF!</v>
      </c>
      <c r="BJ22" s="773"/>
      <c r="BK22" s="774" t="e">
        <f ca="1">IF(BR22&gt;0,CHOOSE(MATCH(RegimeExecucao,{"Unitário","Global"},0),IF($A22="S",BR22/BN22,""),(BR22/BN22)*100),"")</f>
        <v>#REF!</v>
      </c>
      <c r="BL22" s="775"/>
      <c r="BM22" s="776"/>
      <c r="BN22" s="777" t="e">
        <f ca="1">IF(BR22&gt;0,CHOOSE(MATCH(RegimeExecucao,{"Unitário","Global"},0),IF($A22="S",ROUND(P22,arredunit),""),ROUND(R22,arredtot)),"")</f>
        <v>#REF!</v>
      </c>
      <c r="BO22" s="778"/>
      <c r="BP22" s="778"/>
      <c r="BQ22" s="779"/>
      <c r="BR22" s="777" t="e">
        <f t="shared" ca="1" si="1"/>
        <v>#REF!</v>
      </c>
      <c r="BS22" s="778"/>
      <c r="BT22" s="778"/>
      <c r="BU22" s="779"/>
      <c r="BV22" s="780"/>
      <c r="BW22" s="780"/>
      <c r="BX22" s="780"/>
      <c r="BY22" s="780"/>
      <c r="BZ22" s="780"/>
      <c r="CA22" s="781"/>
      <c r="CB22" s="245"/>
      <c r="CC22" s="245"/>
    </row>
    <row r="23" spans="1:81" s="222" customFormat="1" ht="38.4" customHeight="1">
      <c r="A23" s="222" t="str">
        <f t="shared" si="12"/>
        <v>S</v>
      </c>
      <c r="B23" s="222">
        <f t="shared" si="13"/>
        <v>0</v>
      </c>
      <c r="C23" s="222">
        <f t="shared" ca="1" si="2"/>
        <v>2</v>
      </c>
      <c r="D23" s="222">
        <f t="shared" ca="1" si="3"/>
        <v>0</v>
      </c>
      <c r="E23" s="222">
        <f t="shared" ca="1" si="4"/>
        <v>0</v>
      </c>
      <c r="F23" s="222">
        <f t="shared" ca="1" si="5"/>
        <v>0</v>
      </c>
      <c r="G23" s="222">
        <f t="shared" ca="1" si="6"/>
        <v>1</v>
      </c>
      <c r="H23" s="222">
        <f t="shared" ca="1" si="7"/>
        <v>0</v>
      </c>
      <c r="I23" s="222">
        <f t="shared" ca="1" si="8"/>
        <v>0</v>
      </c>
      <c r="J23" s="222">
        <f t="shared" si="9"/>
        <v>1</v>
      </c>
      <c r="K23" s="269" t="s">
        <v>4</v>
      </c>
      <c r="L23" s="336" t="s">
        <v>47</v>
      </c>
      <c r="M23" s="325" t="s">
        <v>48</v>
      </c>
      <c r="N23" s="326" t="s">
        <v>49</v>
      </c>
      <c r="O23" s="327">
        <v>21.998700334199775</v>
      </c>
      <c r="P23" s="328">
        <v>53.86</v>
      </c>
      <c r="Q23" s="329">
        <f t="shared" si="14"/>
        <v>0</v>
      </c>
      <c r="R23" s="330">
        <f t="shared" si="20"/>
        <v>1184.8499999999999</v>
      </c>
      <c r="S23" s="331">
        <f>Z23+AA23+AB23</f>
        <v>22</v>
      </c>
      <c r="T23" s="337">
        <f>AC23</f>
        <v>0</v>
      </c>
      <c r="U23" s="332">
        <f t="shared" si="21"/>
        <v>22</v>
      </c>
      <c r="V23" s="338">
        <f>P23*S23-0.07</f>
        <v>1184.8500000000001</v>
      </c>
      <c r="W23" s="339">
        <f t="shared" si="22"/>
        <v>0</v>
      </c>
      <c r="X23" s="340">
        <f t="shared" si="23"/>
        <v>1184.8500000000001</v>
      </c>
      <c r="Y23" s="333"/>
      <c r="Z23" s="334">
        <v>22</v>
      </c>
      <c r="AA23" s="328"/>
      <c r="AB23" s="328"/>
      <c r="AC23" s="328"/>
      <c r="AD23" s="328"/>
      <c r="AE23" s="328"/>
      <c r="AF23" s="328"/>
      <c r="AG23" s="328"/>
      <c r="AH23" s="328"/>
      <c r="AI23" s="328"/>
      <c r="AJ23" s="328"/>
      <c r="AK23" s="335"/>
      <c r="AL23" s="334"/>
      <c r="AM23" s="328"/>
      <c r="AN23" s="328"/>
      <c r="AO23" s="328"/>
      <c r="AP23" s="328"/>
      <c r="AQ23" s="271"/>
      <c r="AR23" s="271"/>
      <c r="AS23" s="271"/>
      <c r="AT23" s="271"/>
      <c r="AU23" s="271"/>
      <c r="AV23" s="271"/>
      <c r="AW23" s="272"/>
      <c r="AX23" s="245"/>
      <c r="AY23" s="273">
        <v>0</v>
      </c>
      <c r="AZ23" s="274">
        <f t="shared" si="15"/>
        <v>0</v>
      </c>
      <c r="BA23" s="275">
        <v>0</v>
      </c>
      <c r="BB23" s="276" t="e">
        <f t="shared" si="10"/>
        <v>#REF!</v>
      </c>
      <c r="BC23" s="277" t="e">
        <f t="shared" si="16"/>
        <v>#REF!</v>
      </c>
      <c r="BD23" s="278" t="e">
        <f t="shared" si="11"/>
        <v>#REF!</v>
      </c>
      <c r="BF23" s="770" t="e">
        <f t="shared" si="17"/>
        <v>#REF!</v>
      </c>
      <c r="BG23" s="771"/>
      <c r="BH23" s="279" t="e">
        <f t="shared" si="18"/>
        <v>#REF!</v>
      </c>
      <c r="BI23" s="772" t="e">
        <f t="shared" si="19"/>
        <v>#REF!</v>
      </c>
      <c r="BJ23" s="773"/>
      <c r="BK23" s="774" t="e">
        <f>IF(BR23&gt;0,CHOOSE(MATCH(RegimeExecucao,{"Unitário","Global"},0),IF($A23="S",BR23/BN23,""),(BR23/BN23)*100),"")</f>
        <v>#REF!</v>
      </c>
      <c r="BL23" s="775"/>
      <c r="BM23" s="776"/>
      <c r="BN23" s="777" t="e">
        <f>IF(BR23&gt;0,CHOOSE(MATCH(RegimeExecucao,{"Unitário","Global"},0),IF($A23="S",ROUND(P23,arredunit),""),ROUND(R23,arredtot)),"")</f>
        <v>#REF!</v>
      </c>
      <c r="BO23" s="778"/>
      <c r="BP23" s="778"/>
      <c r="BQ23" s="779"/>
      <c r="BR23" s="777" t="e">
        <f t="shared" si="1"/>
        <v>#REF!</v>
      </c>
      <c r="BS23" s="778"/>
      <c r="BT23" s="778"/>
      <c r="BU23" s="779"/>
      <c r="BV23" s="780"/>
      <c r="BW23" s="780"/>
      <c r="BX23" s="780"/>
      <c r="BY23" s="780"/>
      <c r="BZ23" s="780"/>
      <c r="CA23" s="781"/>
      <c r="CB23" s="245"/>
      <c r="CC23" s="245"/>
    </row>
    <row r="24" spans="1:81" s="222" customFormat="1" ht="32.4" customHeight="1">
      <c r="A24" s="222" t="str">
        <f t="shared" si="12"/>
        <v>S</v>
      </c>
      <c r="B24" s="222">
        <f t="shared" si="13"/>
        <v>0</v>
      </c>
      <c r="C24" s="222">
        <f t="shared" ca="1" si="2"/>
        <v>2</v>
      </c>
      <c r="D24" s="222">
        <f t="shared" ca="1" si="3"/>
        <v>0</v>
      </c>
      <c r="E24" s="222">
        <f t="shared" ca="1" si="4"/>
        <v>0</v>
      </c>
      <c r="F24" s="222">
        <f t="shared" ca="1" si="5"/>
        <v>0</v>
      </c>
      <c r="G24" s="222">
        <f t="shared" ca="1" si="6"/>
        <v>2</v>
      </c>
      <c r="H24" s="222">
        <f t="shared" ca="1" si="7"/>
        <v>0</v>
      </c>
      <c r="I24" s="222">
        <f t="shared" ca="1" si="8"/>
        <v>0</v>
      </c>
      <c r="J24" s="222">
        <f t="shared" si="9"/>
        <v>1</v>
      </c>
      <c r="K24" s="269" t="s">
        <v>4</v>
      </c>
      <c r="L24" s="336" t="s">
        <v>50</v>
      </c>
      <c r="M24" s="325" t="s">
        <v>51</v>
      </c>
      <c r="N24" s="326" t="s">
        <v>43</v>
      </c>
      <c r="O24" s="327">
        <v>386.9</v>
      </c>
      <c r="P24" s="328">
        <v>21.040501421555959</v>
      </c>
      <c r="Q24" s="329">
        <f t="shared" si="14"/>
        <v>0</v>
      </c>
      <c r="R24" s="330">
        <f t="shared" si="20"/>
        <v>8140.57</v>
      </c>
      <c r="S24" s="331">
        <f>Z24+AA24+AB24</f>
        <v>0</v>
      </c>
      <c r="T24" s="337">
        <f>AC24</f>
        <v>0</v>
      </c>
      <c r="U24" s="332">
        <f t="shared" si="21"/>
        <v>0</v>
      </c>
      <c r="V24" s="338">
        <f t="shared" ref="V24" si="24">P24*S24</f>
        <v>0</v>
      </c>
      <c r="W24" s="339">
        <f t="shared" si="22"/>
        <v>0</v>
      </c>
      <c r="X24" s="340">
        <f t="shared" si="23"/>
        <v>0</v>
      </c>
      <c r="Y24" s="333"/>
      <c r="Z24" s="334"/>
      <c r="AA24" s="328"/>
      <c r="AB24" s="328"/>
      <c r="AC24" s="328"/>
      <c r="AD24" s="328"/>
      <c r="AE24" s="328"/>
      <c r="AF24" s="328"/>
      <c r="AG24" s="328"/>
      <c r="AH24" s="328"/>
      <c r="AI24" s="328"/>
      <c r="AJ24" s="328"/>
      <c r="AK24" s="335"/>
      <c r="AL24" s="334"/>
      <c r="AM24" s="328"/>
      <c r="AN24" s="328"/>
      <c r="AO24" s="328"/>
      <c r="AP24" s="328"/>
      <c r="AQ24" s="271"/>
      <c r="AR24" s="271"/>
      <c r="AS24" s="271"/>
      <c r="AT24" s="271"/>
      <c r="AU24" s="271"/>
      <c r="AV24" s="271"/>
      <c r="AW24" s="272"/>
      <c r="AX24" s="245"/>
      <c r="AY24" s="273">
        <v>0</v>
      </c>
      <c r="AZ24" s="274">
        <f t="shared" si="15"/>
        <v>0</v>
      </c>
      <c r="BA24" s="275">
        <v>0</v>
      </c>
      <c r="BB24" s="276" t="e">
        <f t="shared" si="10"/>
        <v>#REF!</v>
      </c>
      <c r="BC24" s="277" t="e">
        <f t="shared" si="16"/>
        <v>#REF!</v>
      </c>
      <c r="BD24" s="278" t="e">
        <f t="shared" si="11"/>
        <v>#REF!</v>
      </c>
      <c r="BF24" s="770" t="e">
        <f t="shared" si="17"/>
        <v>#REF!</v>
      </c>
      <c r="BG24" s="771"/>
      <c r="BH24" s="279" t="e">
        <f t="shared" si="18"/>
        <v>#REF!</v>
      </c>
      <c r="BI24" s="772" t="e">
        <f t="shared" si="19"/>
        <v>#REF!</v>
      </c>
      <c r="BJ24" s="773"/>
      <c r="BK24" s="774" t="e">
        <f>IF(BR24&gt;0,CHOOSE(MATCH(RegimeExecucao,{"Unitário","Global"},0),IF($A24="S",BR24/BN24,""),(BR24/BN24)*100),"")</f>
        <v>#REF!</v>
      </c>
      <c r="BL24" s="775"/>
      <c r="BM24" s="776"/>
      <c r="BN24" s="777" t="e">
        <f>IF(BR24&gt;0,CHOOSE(MATCH(RegimeExecucao,{"Unitário","Global"},0),IF($A24="S",ROUND(P24,arredunit),""),ROUND(R24,arredtot)),"")</f>
        <v>#REF!</v>
      </c>
      <c r="BO24" s="778"/>
      <c r="BP24" s="778"/>
      <c r="BQ24" s="779"/>
      <c r="BR24" s="777" t="e">
        <f t="shared" si="1"/>
        <v>#REF!</v>
      </c>
      <c r="BS24" s="778"/>
      <c r="BT24" s="778"/>
      <c r="BU24" s="779"/>
      <c r="BV24" s="780"/>
      <c r="BW24" s="780"/>
      <c r="BX24" s="780"/>
      <c r="BY24" s="780"/>
      <c r="BZ24" s="780"/>
      <c r="CA24" s="781"/>
      <c r="CB24" s="245"/>
      <c r="CC24" s="245"/>
    </row>
    <row r="25" spans="1:81" s="222" customFormat="1" ht="16.2" customHeight="1">
      <c r="A25" s="222">
        <f t="shared" si="12"/>
        <v>1</v>
      </c>
      <c r="B25" s="222">
        <f t="shared" ca="1" si="13"/>
        <v>13</v>
      </c>
      <c r="C25" s="222">
        <f t="shared" ca="1" si="2"/>
        <v>3</v>
      </c>
      <c r="D25" s="222">
        <f t="shared" ca="1" si="3"/>
        <v>0</v>
      </c>
      <c r="E25" s="222">
        <f t="shared" ca="1" si="4"/>
        <v>0</v>
      </c>
      <c r="F25" s="222">
        <f t="shared" ca="1" si="5"/>
        <v>0</v>
      </c>
      <c r="G25" s="222">
        <f t="shared" ca="1" si="6"/>
        <v>0</v>
      </c>
      <c r="H25" s="222">
        <f t="shared" ca="1" si="7"/>
        <v>71</v>
      </c>
      <c r="I25" s="222">
        <f t="shared" ca="1" si="8"/>
        <v>13</v>
      </c>
      <c r="J25" s="222">
        <f t="shared" si="9"/>
        <v>0</v>
      </c>
      <c r="K25" s="269" t="str">
        <f>CHOOSE(1+LOG(1+2*($J25=3)+4*($J25=2)+8*($J25=1)+16*(AND($L25&lt;&gt;"",$L25&lt;&gt;0,$J25=0))+32*OR($N25&lt;&gt;"",RegimeExecucao="Global",AND($L25="",$M25="",$N25="")),2),"","Nível 4","Nível 3","Nível 2","Meta","Serviço")</f>
        <v>Meta</v>
      </c>
      <c r="L25" s="324">
        <v>3</v>
      </c>
      <c r="M25" s="325" t="s">
        <v>52</v>
      </c>
      <c r="N25" s="326"/>
      <c r="O25" s="327"/>
      <c r="P25" s="328"/>
      <c r="Q25" s="329">
        <f t="shared" si="14"/>
        <v>5749.829999999999</v>
      </c>
      <c r="R25" s="330">
        <f>SUM(R26,R35)</f>
        <v>5749.829999999999</v>
      </c>
      <c r="S25" s="331">
        <f>Z25+AA25</f>
        <v>0</v>
      </c>
      <c r="T25" s="339">
        <f>SUM(T26,T35)</f>
        <v>0</v>
      </c>
      <c r="U25" s="332">
        <f t="shared" si="21"/>
        <v>0</v>
      </c>
      <c r="V25" s="338">
        <f>V26+V35</f>
        <v>5749.82</v>
      </c>
      <c r="W25" s="339">
        <f>SUM(W26,W35)</f>
        <v>0</v>
      </c>
      <c r="X25" s="340">
        <f t="shared" si="23"/>
        <v>5749.82</v>
      </c>
      <c r="Y25" s="333"/>
      <c r="Z25" s="334"/>
      <c r="AA25" s="328"/>
      <c r="AB25" s="328"/>
      <c r="AC25" s="328"/>
      <c r="AD25" s="328"/>
      <c r="AE25" s="328"/>
      <c r="AF25" s="328"/>
      <c r="AG25" s="328"/>
      <c r="AH25" s="328"/>
      <c r="AI25" s="328"/>
      <c r="AJ25" s="328"/>
      <c r="AK25" s="335"/>
      <c r="AL25" s="334"/>
      <c r="AM25" s="328"/>
      <c r="AN25" s="328"/>
      <c r="AO25" s="328"/>
      <c r="AP25" s="328"/>
      <c r="AQ25" s="271"/>
      <c r="AR25" s="271"/>
      <c r="AS25" s="271"/>
      <c r="AT25" s="271"/>
      <c r="AU25" s="271"/>
      <c r="AV25" s="271"/>
      <c r="AW25" s="272"/>
      <c r="AX25" s="245"/>
      <c r="AY25" s="273">
        <v>0</v>
      </c>
      <c r="AZ25" s="274">
        <f t="shared" si="15"/>
        <v>0</v>
      </c>
      <c r="BA25" s="275">
        <v>0</v>
      </c>
      <c r="BB25" s="276" t="e">
        <f t="shared" ca="1" si="10"/>
        <v>#REF!</v>
      </c>
      <c r="BC25" s="277" t="e">
        <f t="shared" ca="1" si="16"/>
        <v>#REF!</v>
      </c>
      <c r="BD25" s="278" t="e">
        <f t="shared" ca="1" si="11"/>
        <v>#REF!</v>
      </c>
      <c r="BF25" s="770" t="e">
        <f t="shared" ca="1" si="17"/>
        <v>#REF!</v>
      </c>
      <c r="BG25" s="771"/>
      <c r="BH25" s="279" t="e">
        <f t="shared" ca="1" si="18"/>
        <v>#REF!</v>
      </c>
      <c r="BI25" s="772" t="e">
        <f t="shared" ca="1" si="19"/>
        <v>#REF!</v>
      </c>
      <c r="BJ25" s="773"/>
      <c r="BK25" s="774" t="e">
        <f ca="1">IF(BR25&gt;0,CHOOSE(MATCH(RegimeExecucao,{"Unitário","Global"},0),IF($A25="S",BR25/BN25,""),(BR25/BN25)*100),"")</f>
        <v>#REF!</v>
      </c>
      <c r="BL25" s="775"/>
      <c r="BM25" s="776"/>
      <c r="BN25" s="777" t="e">
        <f ca="1">IF(BR25&gt;0,CHOOSE(MATCH(RegimeExecucao,{"Unitário","Global"},0),IF($A25="S",ROUND(P25,arredunit),""),ROUND(R25,arredtot)),"")</f>
        <v>#REF!</v>
      </c>
      <c r="BO25" s="778"/>
      <c r="BP25" s="778"/>
      <c r="BQ25" s="779"/>
      <c r="BR25" s="777" t="e">
        <f t="shared" ca="1" si="1"/>
        <v>#REF!</v>
      </c>
      <c r="BS25" s="778"/>
      <c r="BT25" s="778"/>
      <c r="BU25" s="779"/>
      <c r="BV25" s="780"/>
      <c r="BW25" s="780"/>
      <c r="BX25" s="780"/>
      <c r="BY25" s="780"/>
      <c r="BZ25" s="780"/>
      <c r="CA25" s="781"/>
      <c r="CB25" s="245"/>
      <c r="CC25" s="245"/>
    </row>
    <row r="26" spans="1:81" s="222" customFormat="1" ht="15.6" customHeight="1">
      <c r="A26" s="222">
        <f t="shared" si="12"/>
        <v>2</v>
      </c>
      <c r="B26" s="222">
        <f t="shared" ca="1" si="13"/>
        <v>9</v>
      </c>
      <c r="C26" s="222">
        <f t="shared" ca="1" si="2"/>
        <v>3</v>
      </c>
      <c r="D26" s="222">
        <f t="shared" ca="1" si="3"/>
        <v>1</v>
      </c>
      <c r="E26" s="222">
        <f t="shared" ca="1" si="4"/>
        <v>0</v>
      </c>
      <c r="F26" s="222">
        <f t="shared" ca="1" si="5"/>
        <v>0</v>
      </c>
      <c r="G26" s="222">
        <f t="shared" ca="1" si="6"/>
        <v>0</v>
      </c>
      <c r="H26" s="222">
        <f t="shared" ca="1" si="7"/>
        <v>12</v>
      </c>
      <c r="I26" s="222">
        <f t="shared" ca="1" si="8"/>
        <v>9</v>
      </c>
      <c r="J26" s="222">
        <f t="shared" si="9"/>
        <v>1</v>
      </c>
      <c r="K26" s="269" t="str">
        <f>CHOOSE(1+LOG(1+2*($J26=3)+4*($J26=2)+8*($J26=1)+16*(AND($L26&lt;&gt;"",$L26&lt;&gt;0,$J26=0))+32*OR($N26&lt;&gt;"",RegimeExecucao="Global",AND($L26="",$M26="",$N26="")),2),"","Nível 4","Nível 3","Nível 2","Meta","Serviço")</f>
        <v>Nível 2</v>
      </c>
      <c r="L26" s="336" t="s">
        <v>53</v>
      </c>
      <c r="M26" s="325" t="s">
        <v>54</v>
      </c>
      <c r="N26" s="326"/>
      <c r="O26" s="327"/>
      <c r="P26" s="328"/>
      <c r="Q26" s="329">
        <f t="shared" si="14"/>
        <v>4804.7679999999991</v>
      </c>
      <c r="R26" s="330">
        <f>SUM(R27:R34)</f>
        <v>4804.7679999999991</v>
      </c>
      <c r="S26" s="331">
        <f>Z26+AA26</f>
        <v>0</v>
      </c>
      <c r="T26" s="339">
        <f>SUM(T27:T34)</f>
        <v>0</v>
      </c>
      <c r="U26" s="332">
        <f t="shared" si="21"/>
        <v>0</v>
      </c>
      <c r="V26" s="338">
        <f>SUM(V27:V34)</f>
        <v>4804.7579999999998</v>
      </c>
      <c r="W26" s="339">
        <f>SUM(W27:W34)</f>
        <v>0</v>
      </c>
      <c r="X26" s="340">
        <f t="shared" si="23"/>
        <v>4804.7579999999998</v>
      </c>
      <c r="Y26" s="333"/>
      <c r="Z26" s="334"/>
      <c r="AA26" s="328"/>
      <c r="AB26" s="328"/>
      <c r="AC26" s="328"/>
      <c r="AD26" s="328"/>
      <c r="AE26" s="328"/>
      <c r="AF26" s="328"/>
      <c r="AG26" s="328"/>
      <c r="AH26" s="328"/>
      <c r="AI26" s="328"/>
      <c r="AJ26" s="328"/>
      <c r="AK26" s="335"/>
      <c r="AL26" s="334"/>
      <c r="AM26" s="328"/>
      <c r="AN26" s="328"/>
      <c r="AO26" s="328"/>
      <c r="AP26" s="328"/>
      <c r="AQ26" s="271"/>
      <c r="AR26" s="271"/>
      <c r="AS26" s="271"/>
      <c r="AT26" s="271"/>
      <c r="AU26" s="271"/>
      <c r="AV26" s="271"/>
      <c r="AW26" s="272"/>
      <c r="AX26" s="245"/>
      <c r="AY26" s="273">
        <v>0</v>
      </c>
      <c r="AZ26" s="274">
        <f t="shared" si="15"/>
        <v>0</v>
      </c>
      <c r="BA26" s="275">
        <v>0</v>
      </c>
      <c r="BB26" s="276" t="e">
        <f t="shared" ca="1" si="10"/>
        <v>#REF!</v>
      </c>
      <c r="BC26" s="277" t="e">
        <f t="shared" ca="1" si="16"/>
        <v>#REF!</v>
      </c>
      <c r="BD26" s="278" t="e">
        <f t="shared" ca="1" si="11"/>
        <v>#REF!</v>
      </c>
      <c r="BF26" s="770" t="e">
        <f t="shared" ca="1" si="17"/>
        <v>#REF!</v>
      </c>
      <c r="BG26" s="771"/>
      <c r="BH26" s="279" t="e">
        <f t="shared" ca="1" si="18"/>
        <v>#REF!</v>
      </c>
      <c r="BI26" s="772" t="e">
        <f t="shared" ca="1" si="19"/>
        <v>#REF!</v>
      </c>
      <c r="BJ26" s="773"/>
      <c r="BK26" s="774" t="e">
        <f ca="1">IF(BR26&gt;0,CHOOSE(MATCH(RegimeExecucao,{"Unitário","Global"},0),IF($A26="S",BR26/BN26,""),(BR26/BN26)*100),"")</f>
        <v>#REF!</v>
      </c>
      <c r="BL26" s="775"/>
      <c r="BM26" s="776"/>
      <c r="BN26" s="777" t="e">
        <f ca="1">IF(BR26&gt;0,CHOOSE(MATCH(RegimeExecucao,{"Unitário","Global"},0),IF($A26="S",ROUND(P26,arredunit),""),ROUND(R26,arredtot)),"")</f>
        <v>#REF!</v>
      </c>
      <c r="BO26" s="778"/>
      <c r="BP26" s="778"/>
      <c r="BQ26" s="779"/>
      <c r="BR26" s="777" t="e">
        <f t="shared" ca="1" si="1"/>
        <v>#REF!</v>
      </c>
      <c r="BS26" s="778"/>
      <c r="BT26" s="778"/>
      <c r="BU26" s="779"/>
      <c r="BV26" s="780"/>
      <c r="BW26" s="780"/>
      <c r="BX26" s="780"/>
      <c r="BY26" s="780"/>
      <c r="BZ26" s="780"/>
      <c r="CA26" s="781"/>
      <c r="CB26" s="245"/>
      <c r="CC26" s="245"/>
    </row>
    <row r="27" spans="1:81" s="222" customFormat="1" ht="33.6" customHeight="1">
      <c r="A27" s="222" t="str">
        <f t="shared" si="12"/>
        <v>S</v>
      </c>
      <c r="B27" s="222">
        <f t="shared" si="13"/>
        <v>0</v>
      </c>
      <c r="C27" s="222">
        <f t="shared" ca="1" si="2"/>
        <v>3</v>
      </c>
      <c r="D27" s="222">
        <f t="shared" ca="1" si="3"/>
        <v>1</v>
      </c>
      <c r="E27" s="222">
        <f t="shared" ca="1" si="4"/>
        <v>0</v>
      </c>
      <c r="F27" s="222">
        <f t="shared" ca="1" si="5"/>
        <v>0</v>
      </c>
      <c r="G27" s="222">
        <f t="shared" ca="1" si="6"/>
        <v>1</v>
      </c>
      <c r="H27" s="222">
        <f t="shared" ca="1" si="7"/>
        <v>0</v>
      </c>
      <c r="I27" s="222">
        <f t="shared" ca="1" si="8"/>
        <v>0</v>
      </c>
      <c r="J27" s="222">
        <f t="shared" si="9"/>
        <v>2</v>
      </c>
      <c r="K27" s="269" t="s">
        <v>4</v>
      </c>
      <c r="L27" s="336" t="s">
        <v>55</v>
      </c>
      <c r="M27" s="325" t="s">
        <v>56</v>
      </c>
      <c r="N27" s="326" t="s">
        <v>49</v>
      </c>
      <c r="O27" s="327">
        <v>3.3</v>
      </c>
      <c r="P27" s="328">
        <v>82.16</v>
      </c>
      <c r="Q27" s="329">
        <f t="shared" si="14"/>
        <v>0</v>
      </c>
      <c r="R27" s="330">
        <f t="shared" si="20"/>
        <v>271.12799999999999</v>
      </c>
      <c r="S27" s="331">
        <f>Z27+AA27+AB27</f>
        <v>3.3</v>
      </c>
      <c r="T27" s="337">
        <f>AC27</f>
        <v>0</v>
      </c>
      <c r="U27" s="332">
        <f t="shared" si="21"/>
        <v>3.3</v>
      </c>
      <c r="V27" s="338">
        <f t="shared" ref="V27:V32" si="25">P27*S27</f>
        <v>271.12799999999999</v>
      </c>
      <c r="W27" s="339">
        <f t="shared" si="22"/>
        <v>0</v>
      </c>
      <c r="X27" s="340">
        <f t="shared" si="23"/>
        <v>271.12799999999999</v>
      </c>
      <c r="Y27" s="333"/>
      <c r="Z27" s="334">
        <v>3.3</v>
      </c>
      <c r="AA27" s="328"/>
      <c r="AB27" s="328"/>
      <c r="AC27" s="328"/>
      <c r="AD27" s="328"/>
      <c r="AE27" s="328"/>
      <c r="AF27" s="328"/>
      <c r="AG27" s="328"/>
      <c r="AH27" s="328"/>
      <c r="AI27" s="328"/>
      <c r="AJ27" s="328"/>
      <c r="AK27" s="335"/>
      <c r="AL27" s="334"/>
      <c r="AM27" s="328"/>
      <c r="AN27" s="328"/>
      <c r="AO27" s="328"/>
      <c r="AP27" s="328"/>
      <c r="AQ27" s="271"/>
      <c r="AR27" s="271"/>
      <c r="AS27" s="271"/>
      <c r="AT27" s="271"/>
      <c r="AU27" s="271"/>
      <c r="AV27" s="271"/>
      <c r="AW27" s="272"/>
      <c r="AX27" s="245"/>
      <c r="AY27" s="273">
        <v>0</v>
      </c>
      <c r="AZ27" s="274">
        <f t="shared" si="15"/>
        <v>0</v>
      </c>
      <c r="BA27" s="275">
        <v>0</v>
      </c>
      <c r="BB27" s="276" t="e">
        <f t="shared" si="10"/>
        <v>#REF!</v>
      </c>
      <c r="BC27" s="277" t="e">
        <f t="shared" si="16"/>
        <v>#REF!</v>
      </c>
      <c r="BD27" s="278" t="e">
        <f t="shared" si="11"/>
        <v>#REF!</v>
      </c>
      <c r="BF27" s="770" t="e">
        <f t="shared" si="17"/>
        <v>#REF!</v>
      </c>
      <c r="BG27" s="771"/>
      <c r="BH27" s="279" t="e">
        <f t="shared" si="18"/>
        <v>#REF!</v>
      </c>
      <c r="BI27" s="772" t="e">
        <f t="shared" si="19"/>
        <v>#REF!</v>
      </c>
      <c r="BJ27" s="773"/>
      <c r="BK27" s="774" t="e">
        <f>IF(BR27&gt;0,CHOOSE(MATCH(RegimeExecucao,{"Unitário","Global"},0),IF($A27="S",BR27/BN27,""),(BR27/BN27)*100),"")</f>
        <v>#REF!</v>
      </c>
      <c r="BL27" s="775"/>
      <c r="BM27" s="776"/>
      <c r="BN27" s="777" t="e">
        <f>IF(BR27&gt;0,CHOOSE(MATCH(RegimeExecucao,{"Unitário","Global"},0),IF($A27="S",ROUND(P27,arredunit),""),ROUND(R27,arredtot)),"")</f>
        <v>#REF!</v>
      </c>
      <c r="BO27" s="778"/>
      <c r="BP27" s="778"/>
      <c r="BQ27" s="779"/>
      <c r="BR27" s="777" t="e">
        <f t="shared" si="1"/>
        <v>#REF!</v>
      </c>
      <c r="BS27" s="778"/>
      <c r="BT27" s="778"/>
      <c r="BU27" s="779"/>
      <c r="BV27" s="780"/>
      <c r="BW27" s="780"/>
      <c r="BX27" s="780"/>
      <c r="BY27" s="780"/>
      <c r="BZ27" s="780"/>
      <c r="CA27" s="781"/>
      <c r="CB27" s="245"/>
      <c r="CC27" s="245"/>
    </row>
    <row r="28" spans="1:81" s="222" customFormat="1" ht="45" customHeight="1">
      <c r="A28" s="222" t="str">
        <f t="shared" si="12"/>
        <v>S</v>
      </c>
      <c r="B28" s="222">
        <f t="shared" si="13"/>
        <v>0</v>
      </c>
      <c r="C28" s="222">
        <f t="shared" ca="1" si="2"/>
        <v>3</v>
      </c>
      <c r="D28" s="222">
        <f t="shared" ca="1" si="3"/>
        <v>1</v>
      </c>
      <c r="E28" s="222">
        <f t="shared" ca="1" si="4"/>
        <v>0</v>
      </c>
      <c r="F28" s="222">
        <f t="shared" ca="1" si="5"/>
        <v>0</v>
      </c>
      <c r="G28" s="222">
        <f t="shared" ca="1" si="6"/>
        <v>2</v>
      </c>
      <c r="H28" s="222">
        <f t="shared" ca="1" si="7"/>
        <v>0</v>
      </c>
      <c r="I28" s="222">
        <f t="shared" ca="1" si="8"/>
        <v>0</v>
      </c>
      <c r="J28" s="222">
        <f t="shared" si="9"/>
        <v>2</v>
      </c>
      <c r="K28" s="269" t="s">
        <v>4</v>
      </c>
      <c r="L28" s="336" t="s">
        <v>57</v>
      </c>
      <c r="M28" s="341" t="s">
        <v>58</v>
      </c>
      <c r="N28" s="326" t="s">
        <v>59</v>
      </c>
      <c r="O28" s="327">
        <v>28.000366837857662</v>
      </c>
      <c r="P28" s="328">
        <v>54.52</v>
      </c>
      <c r="Q28" s="329">
        <f t="shared" si="14"/>
        <v>0</v>
      </c>
      <c r="R28" s="330">
        <f t="shared" si="20"/>
        <v>1526.58</v>
      </c>
      <c r="S28" s="331">
        <f t="shared" ref="S28:S49" si="26">Z28+AA28+AB28</f>
        <v>28</v>
      </c>
      <c r="T28" s="337">
        <f t="shared" ref="T28:T49" si="27">AC28</f>
        <v>0</v>
      </c>
      <c r="U28" s="332">
        <f t="shared" si="21"/>
        <v>28</v>
      </c>
      <c r="V28" s="338">
        <f>P28*S28+0.02</f>
        <v>1526.5800000000002</v>
      </c>
      <c r="W28" s="339">
        <f t="shared" si="22"/>
        <v>0</v>
      </c>
      <c r="X28" s="340">
        <f t="shared" si="23"/>
        <v>1526.5800000000002</v>
      </c>
      <c r="Y28" s="333"/>
      <c r="Z28" s="334">
        <v>28</v>
      </c>
      <c r="AA28" s="328"/>
      <c r="AB28" s="328"/>
      <c r="AC28" s="328"/>
      <c r="AD28" s="328"/>
      <c r="AE28" s="328"/>
      <c r="AF28" s="328"/>
      <c r="AG28" s="328"/>
      <c r="AH28" s="328"/>
      <c r="AI28" s="328"/>
      <c r="AJ28" s="328"/>
      <c r="AK28" s="335"/>
      <c r="AL28" s="334"/>
      <c r="AM28" s="328"/>
      <c r="AN28" s="328"/>
      <c r="AO28" s="328"/>
      <c r="AP28" s="328"/>
      <c r="AQ28" s="271"/>
      <c r="AR28" s="271"/>
      <c r="AS28" s="271"/>
      <c r="AT28" s="271"/>
      <c r="AU28" s="271"/>
      <c r="AV28" s="271"/>
      <c r="AW28" s="272"/>
      <c r="AX28" s="245"/>
      <c r="AY28" s="273">
        <v>0</v>
      </c>
      <c r="AZ28" s="274">
        <f t="shared" si="15"/>
        <v>0</v>
      </c>
      <c r="BA28" s="275">
        <v>0</v>
      </c>
      <c r="BB28" s="276" t="e">
        <f t="shared" si="10"/>
        <v>#REF!</v>
      </c>
      <c r="BC28" s="277" t="e">
        <f t="shared" si="16"/>
        <v>#REF!</v>
      </c>
      <c r="BD28" s="278" t="e">
        <f t="shared" si="11"/>
        <v>#REF!</v>
      </c>
      <c r="BF28" s="770" t="e">
        <f t="shared" si="17"/>
        <v>#REF!</v>
      </c>
      <c r="BG28" s="771"/>
      <c r="BH28" s="279" t="e">
        <f t="shared" si="18"/>
        <v>#REF!</v>
      </c>
      <c r="BI28" s="772" t="e">
        <f t="shared" si="19"/>
        <v>#REF!</v>
      </c>
      <c r="BJ28" s="773"/>
      <c r="BK28" s="774" t="e">
        <f>IF(BR28&gt;0,CHOOSE(MATCH(RegimeExecucao,{"Unitário","Global"},0),IF($A28="S",BR28/BN28,""),(BR28/BN28)*100),"")</f>
        <v>#REF!</v>
      </c>
      <c r="BL28" s="775"/>
      <c r="BM28" s="776"/>
      <c r="BN28" s="777" t="e">
        <f>IF(BR28&gt;0,CHOOSE(MATCH(RegimeExecucao,{"Unitário","Global"},0),IF($A28="S",ROUND(P28,arredunit),""),ROUND(R28,arredtot)),"")</f>
        <v>#REF!</v>
      </c>
      <c r="BO28" s="778"/>
      <c r="BP28" s="778"/>
      <c r="BQ28" s="779"/>
      <c r="BR28" s="777" t="e">
        <f t="shared" si="1"/>
        <v>#REF!</v>
      </c>
      <c r="BS28" s="778"/>
      <c r="BT28" s="778"/>
      <c r="BU28" s="779"/>
      <c r="BV28" s="780"/>
      <c r="BW28" s="780"/>
      <c r="BX28" s="780"/>
      <c r="BY28" s="780"/>
      <c r="BZ28" s="780"/>
      <c r="CA28" s="781"/>
      <c r="CB28" s="245"/>
      <c r="CC28" s="245"/>
    </row>
    <row r="29" spans="1:81" s="222" customFormat="1" ht="44.4" customHeight="1">
      <c r="A29" s="222" t="str">
        <f t="shared" si="12"/>
        <v>S</v>
      </c>
      <c r="B29" s="222">
        <f t="shared" si="13"/>
        <v>0</v>
      </c>
      <c r="C29" s="222">
        <f t="shared" ca="1" si="2"/>
        <v>3</v>
      </c>
      <c r="D29" s="222">
        <f t="shared" ca="1" si="3"/>
        <v>1</v>
      </c>
      <c r="E29" s="222">
        <f t="shared" ca="1" si="4"/>
        <v>0</v>
      </c>
      <c r="F29" s="222">
        <f t="shared" ca="1" si="5"/>
        <v>0</v>
      </c>
      <c r="G29" s="222">
        <f t="shared" ca="1" si="6"/>
        <v>3</v>
      </c>
      <c r="H29" s="222">
        <f t="shared" ca="1" si="7"/>
        <v>0</v>
      </c>
      <c r="I29" s="222">
        <f t="shared" ca="1" si="8"/>
        <v>0</v>
      </c>
      <c r="J29" s="222">
        <f t="shared" si="9"/>
        <v>2</v>
      </c>
      <c r="K29" s="269" t="s">
        <v>4</v>
      </c>
      <c r="L29" s="336" t="s">
        <v>60</v>
      </c>
      <c r="M29" s="325" t="s">
        <v>61</v>
      </c>
      <c r="N29" s="326" t="s">
        <v>49</v>
      </c>
      <c r="O29" s="327">
        <v>0.4</v>
      </c>
      <c r="P29" s="328">
        <v>166.35</v>
      </c>
      <c r="Q29" s="329">
        <f t="shared" si="14"/>
        <v>0</v>
      </c>
      <c r="R29" s="330">
        <f t="shared" si="20"/>
        <v>66.540000000000006</v>
      </c>
      <c r="S29" s="331">
        <f t="shared" si="26"/>
        <v>0.4</v>
      </c>
      <c r="T29" s="337">
        <f t="shared" si="27"/>
        <v>0</v>
      </c>
      <c r="U29" s="332">
        <f t="shared" si="21"/>
        <v>0.4</v>
      </c>
      <c r="V29" s="338">
        <f t="shared" si="25"/>
        <v>66.540000000000006</v>
      </c>
      <c r="W29" s="339">
        <f t="shared" si="22"/>
        <v>0</v>
      </c>
      <c r="X29" s="340">
        <f t="shared" si="23"/>
        <v>66.540000000000006</v>
      </c>
      <c r="Y29" s="333"/>
      <c r="Z29" s="334">
        <v>0.4</v>
      </c>
      <c r="AA29" s="328"/>
      <c r="AB29" s="328"/>
      <c r="AC29" s="328"/>
      <c r="AD29" s="328"/>
      <c r="AE29" s="328"/>
      <c r="AF29" s="328"/>
      <c r="AG29" s="328"/>
      <c r="AH29" s="328"/>
      <c r="AI29" s="328"/>
      <c r="AJ29" s="328"/>
      <c r="AK29" s="335"/>
      <c r="AL29" s="334"/>
      <c r="AM29" s="328"/>
      <c r="AN29" s="328"/>
      <c r="AO29" s="328"/>
      <c r="AP29" s="328"/>
      <c r="AQ29" s="271"/>
      <c r="AR29" s="271"/>
      <c r="AS29" s="271"/>
      <c r="AT29" s="271"/>
      <c r="AU29" s="271"/>
      <c r="AV29" s="271"/>
      <c r="AW29" s="272"/>
      <c r="AX29" s="245"/>
      <c r="AY29" s="273">
        <v>0</v>
      </c>
      <c r="AZ29" s="274">
        <f t="shared" si="15"/>
        <v>0</v>
      </c>
      <c r="BA29" s="275">
        <v>0</v>
      </c>
      <c r="BB29" s="276" t="e">
        <f t="shared" si="10"/>
        <v>#REF!</v>
      </c>
      <c r="BC29" s="277" t="e">
        <f t="shared" si="16"/>
        <v>#REF!</v>
      </c>
      <c r="BD29" s="278" t="e">
        <f t="shared" si="11"/>
        <v>#REF!</v>
      </c>
      <c r="BF29" s="770" t="e">
        <f t="shared" si="17"/>
        <v>#REF!</v>
      </c>
      <c r="BG29" s="771"/>
      <c r="BH29" s="279" t="e">
        <f t="shared" si="18"/>
        <v>#REF!</v>
      </c>
      <c r="BI29" s="772" t="e">
        <f t="shared" si="19"/>
        <v>#REF!</v>
      </c>
      <c r="BJ29" s="773"/>
      <c r="BK29" s="774" t="e">
        <f>IF(BR29&gt;0,CHOOSE(MATCH(RegimeExecucao,{"Unitário","Global"},0),IF($A29="S",BR29/BN29,""),(BR29/BN29)*100),"")</f>
        <v>#REF!</v>
      </c>
      <c r="BL29" s="775"/>
      <c r="BM29" s="776"/>
      <c r="BN29" s="777" t="e">
        <f>IF(BR29&gt;0,CHOOSE(MATCH(RegimeExecucao,{"Unitário","Global"},0),IF($A29="S",ROUND(P29,arredunit),""),ROUND(R29,arredtot)),"")</f>
        <v>#REF!</v>
      </c>
      <c r="BO29" s="778"/>
      <c r="BP29" s="778"/>
      <c r="BQ29" s="779"/>
      <c r="BR29" s="777" t="e">
        <f t="shared" si="1"/>
        <v>#REF!</v>
      </c>
      <c r="BS29" s="778"/>
      <c r="BT29" s="778"/>
      <c r="BU29" s="779"/>
      <c r="BV29" s="780"/>
      <c r="BW29" s="780"/>
      <c r="BX29" s="780"/>
      <c r="BY29" s="780"/>
      <c r="BZ29" s="780"/>
      <c r="CA29" s="781"/>
      <c r="CB29" s="245"/>
      <c r="CC29" s="245"/>
    </row>
    <row r="30" spans="1:81" s="222" customFormat="1" ht="48.6" customHeight="1">
      <c r="A30" s="222" t="str">
        <f t="shared" si="12"/>
        <v>S</v>
      </c>
      <c r="B30" s="222">
        <f t="shared" si="13"/>
        <v>0</v>
      </c>
      <c r="C30" s="222">
        <f t="shared" ca="1" si="2"/>
        <v>3</v>
      </c>
      <c r="D30" s="222">
        <f t="shared" ca="1" si="3"/>
        <v>1</v>
      </c>
      <c r="E30" s="222">
        <f t="shared" ca="1" si="4"/>
        <v>0</v>
      </c>
      <c r="F30" s="222">
        <f t="shared" ca="1" si="5"/>
        <v>0</v>
      </c>
      <c r="G30" s="222">
        <f t="shared" ca="1" si="6"/>
        <v>4</v>
      </c>
      <c r="H30" s="222">
        <f t="shared" ca="1" si="7"/>
        <v>0</v>
      </c>
      <c r="I30" s="222">
        <f t="shared" ca="1" si="8"/>
        <v>0</v>
      </c>
      <c r="J30" s="222">
        <f t="shared" si="9"/>
        <v>2</v>
      </c>
      <c r="K30" s="269" t="s">
        <v>4</v>
      </c>
      <c r="L30" s="336" t="s">
        <v>62</v>
      </c>
      <c r="M30" s="325" t="s">
        <v>63</v>
      </c>
      <c r="N30" s="326" t="s">
        <v>43</v>
      </c>
      <c r="O30" s="327">
        <v>15.000404312668463</v>
      </c>
      <c r="P30" s="328">
        <v>74.2</v>
      </c>
      <c r="Q30" s="329">
        <f t="shared" si="14"/>
        <v>0</v>
      </c>
      <c r="R30" s="330">
        <f t="shared" si="20"/>
        <v>1113.03</v>
      </c>
      <c r="S30" s="331">
        <f t="shared" si="26"/>
        <v>15</v>
      </c>
      <c r="T30" s="337">
        <f t="shared" si="27"/>
        <v>0</v>
      </c>
      <c r="U30" s="332">
        <f t="shared" si="21"/>
        <v>15</v>
      </c>
      <c r="V30" s="338">
        <f>P30*S30+0.02</f>
        <v>1113.02</v>
      </c>
      <c r="W30" s="339">
        <f t="shared" si="22"/>
        <v>0</v>
      </c>
      <c r="X30" s="340">
        <f t="shared" si="23"/>
        <v>1113.02</v>
      </c>
      <c r="Y30" s="333"/>
      <c r="Z30" s="334">
        <v>15</v>
      </c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35"/>
      <c r="AL30" s="334"/>
      <c r="AM30" s="328"/>
      <c r="AN30" s="328"/>
      <c r="AO30" s="328"/>
      <c r="AP30" s="328"/>
      <c r="AQ30" s="271"/>
      <c r="AR30" s="271"/>
      <c r="AS30" s="271"/>
      <c r="AT30" s="271"/>
      <c r="AU30" s="271"/>
      <c r="AV30" s="271"/>
      <c r="AW30" s="272"/>
      <c r="AX30" s="245"/>
      <c r="AY30" s="273">
        <v>0</v>
      </c>
      <c r="AZ30" s="274">
        <f t="shared" si="15"/>
        <v>0</v>
      </c>
      <c r="BA30" s="275">
        <v>0</v>
      </c>
      <c r="BB30" s="276" t="e">
        <f t="shared" si="10"/>
        <v>#REF!</v>
      </c>
      <c r="BC30" s="277" t="e">
        <f t="shared" si="16"/>
        <v>#REF!</v>
      </c>
      <c r="BD30" s="278" t="e">
        <f t="shared" si="11"/>
        <v>#REF!</v>
      </c>
      <c r="BF30" s="770" t="e">
        <f t="shared" si="17"/>
        <v>#REF!</v>
      </c>
      <c r="BG30" s="771"/>
      <c r="BH30" s="279" t="e">
        <f t="shared" si="18"/>
        <v>#REF!</v>
      </c>
      <c r="BI30" s="772" t="e">
        <f t="shared" si="19"/>
        <v>#REF!</v>
      </c>
      <c r="BJ30" s="773"/>
      <c r="BK30" s="774" t="e">
        <f>IF(BR30&gt;0,CHOOSE(MATCH(RegimeExecucao,{"Unitário","Global"},0),IF($A30="S",BR30/BN30,""),(BR30/BN30)*100),"")</f>
        <v>#REF!</v>
      </c>
      <c r="BL30" s="775"/>
      <c r="BM30" s="776"/>
      <c r="BN30" s="777" t="e">
        <f>IF(BR30&gt;0,CHOOSE(MATCH(RegimeExecucao,{"Unitário","Global"},0),IF($A30="S",ROUND(P30,arredunit),""),ROUND(R30,arredtot)),"")</f>
        <v>#REF!</v>
      </c>
      <c r="BO30" s="778"/>
      <c r="BP30" s="778"/>
      <c r="BQ30" s="779"/>
      <c r="BR30" s="777" t="e">
        <f t="shared" si="1"/>
        <v>#REF!</v>
      </c>
      <c r="BS30" s="778"/>
      <c r="BT30" s="778"/>
      <c r="BU30" s="779"/>
      <c r="BV30" s="780"/>
      <c r="BW30" s="780"/>
      <c r="BX30" s="780"/>
      <c r="BY30" s="780"/>
      <c r="BZ30" s="780"/>
      <c r="CA30" s="781"/>
      <c r="CB30" s="245"/>
      <c r="CC30" s="245"/>
    </row>
    <row r="31" spans="1:81" s="222" customFormat="1" ht="46.2" customHeight="1">
      <c r="A31" s="222" t="str">
        <f t="shared" si="12"/>
        <v>S</v>
      </c>
      <c r="B31" s="222">
        <f t="shared" si="13"/>
        <v>0</v>
      </c>
      <c r="C31" s="222">
        <f t="shared" ca="1" si="2"/>
        <v>3</v>
      </c>
      <c r="D31" s="222">
        <f t="shared" ca="1" si="3"/>
        <v>1</v>
      </c>
      <c r="E31" s="222">
        <f t="shared" ca="1" si="4"/>
        <v>0</v>
      </c>
      <c r="F31" s="222">
        <f t="shared" ca="1" si="5"/>
        <v>0</v>
      </c>
      <c r="G31" s="222">
        <f t="shared" ca="1" si="6"/>
        <v>5</v>
      </c>
      <c r="H31" s="222">
        <f t="shared" ca="1" si="7"/>
        <v>0</v>
      </c>
      <c r="I31" s="222">
        <f t="shared" ca="1" si="8"/>
        <v>0</v>
      </c>
      <c r="J31" s="222">
        <f t="shared" si="9"/>
        <v>2</v>
      </c>
      <c r="K31" s="269" t="s">
        <v>4</v>
      </c>
      <c r="L31" s="336" t="s">
        <v>64</v>
      </c>
      <c r="M31" s="325" t="s">
        <v>65</v>
      </c>
      <c r="N31" s="326" t="s">
        <v>66</v>
      </c>
      <c r="O31" s="327">
        <v>100</v>
      </c>
      <c r="P31" s="328">
        <v>8.5698000000000008</v>
      </c>
      <c r="Q31" s="329">
        <f t="shared" si="14"/>
        <v>0</v>
      </c>
      <c r="R31" s="330">
        <f t="shared" si="20"/>
        <v>856.98</v>
      </c>
      <c r="S31" s="331">
        <f t="shared" si="26"/>
        <v>100</v>
      </c>
      <c r="T31" s="337">
        <f t="shared" si="27"/>
        <v>0</v>
      </c>
      <c r="U31" s="332">
        <f t="shared" si="21"/>
        <v>100</v>
      </c>
      <c r="V31" s="338">
        <f t="shared" si="25"/>
        <v>856.98</v>
      </c>
      <c r="W31" s="339">
        <f t="shared" si="22"/>
        <v>0</v>
      </c>
      <c r="X31" s="340">
        <f t="shared" si="23"/>
        <v>856.98</v>
      </c>
      <c r="Y31" s="333"/>
      <c r="Z31" s="334">
        <v>100</v>
      </c>
      <c r="AA31" s="328"/>
      <c r="AB31" s="328"/>
      <c r="AC31" s="328"/>
      <c r="AD31" s="328"/>
      <c r="AE31" s="328"/>
      <c r="AF31" s="328"/>
      <c r="AG31" s="328"/>
      <c r="AH31" s="328"/>
      <c r="AI31" s="328"/>
      <c r="AJ31" s="328"/>
      <c r="AK31" s="335"/>
      <c r="AL31" s="334"/>
      <c r="AM31" s="328"/>
      <c r="AN31" s="328"/>
      <c r="AO31" s="328"/>
      <c r="AP31" s="328"/>
      <c r="AQ31" s="271"/>
      <c r="AR31" s="271"/>
      <c r="AS31" s="271"/>
      <c r="AT31" s="271"/>
      <c r="AU31" s="271"/>
      <c r="AV31" s="271"/>
      <c r="AW31" s="272"/>
      <c r="AX31" s="245"/>
      <c r="AY31" s="273">
        <v>0</v>
      </c>
      <c r="AZ31" s="274">
        <f t="shared" si="15"/>
        <v>0</v>
      </c>
      <c r="BA31" s="275">
        <v>0</v>
      </c>
      <c r="BB31" s="276" t="e">
        <f t="shared" si="10"/>
        <v>#REF!</v>
      </c>
      <c r="BC31" s="277" t="e">
        <f t="shared" si="16"/>
        <v>#REF!</v>
      </c>
      <c r="BD31" s="278" t="e">
        <f t="shared" si="11"/>
        <v>#REF!</v>
      </c>
      <c r="BF31" s="770" t="e">
        <f t="shared" si="17"/>
        <v>#REF!</v>
      </c>
      <c r="BG31" s="771"/>
      <c r="BH31" s="279" t="e">
        <f t="shared" si="18"/>
        <v>#REF!</v>
      </c>
      <c r="BI31" s="772" t="e">
        <f t="shared" si="19"/>
        <v>#REF!</v>
      </c>
      <c r="BJ31" s="773"/>
      <c r="BK31" s="774" t="e">
        <f>IF(BR31&gt;0,CHOOSE(MATCH(RegimeExecucao,{"Unitário","Global"},0),IF($A31="S",BR31/BN31,""),(BR31/BN31)*100),"")</f>
        <v>#REF!</v>
      </c>
      <c r="BL31" s="775"/>
      <c r="BM31" s="776"/>
      <c r="BN31" s="777" t="e">
        <f>IF(BR31&gt;0,CHOOSE(MATCH(RegimeExecucao,{"Unitário","Global"},0),IF($A31="S",ROUND(P31,arredunit),""),ROUND(R31,arredtot)),"")</f>
        <v>#REF!</v>
      </c>
      <c r="BO31" s="778"/>
      <c r="BP31" s="778"/>
      <c r="BQ31" s="779"/>
      <c r="BR31" s="777" t="e">
        <f t="shared" si="1"/>
        <v>#REF!</v>
      </c>
      <c r="BS31" s="778"/>
      <c r="BT31" s="778"/>
      <c r="BU31" s="779"/>
      <c r="BV31" s="780"/>
      <c r="BW31" s="780"/>
      <c r="BX31" s="780"/>
      <c r="BY31" s="780"/>
      <c r="BZ31" s="780"/>
      <c r="CA31" s="781"/>
      <c r="CB31" s="245"/>
      <c r="CC31" s="245"/>
    </row>
    <row r="32" spans="1:81" s="222" customFormat="1" ht="47.4" customHeight="1">
      <c r="A32" s="222" t="str">
        <f t="shared" si="12"/>
        <v>S</v>
      </c>
      <c r="B32" s="222">
        <f t="shared" si="13"/>
        <v>0</v>
      </c>
      <c r="C32" s="222">
        <f t="shared" ca="1" si="2"/>
        <v>3</v>
      </c>
      <c r="D32" s="222">
        <f t="shared" ca="1" si="3"/>
        <v>1</v>
      </c>
      <c r="E32" s="222">
        <f t="shared" ca="1" si="4"/>
        <v>0</v>
      </c>
      <c r="F32" s="222">
        <f t="shared" ca="1" si="5"/>
        <v>0</v>
      </c>
      <c r="G32" s="222">
        <f t="shared" ca="1" si="6"/>
        <v>6</v>
      </c>
      <c r="H32" s="222">
        <f t="shared" ca="1" si="7"/>
        <v>0</v>
      </c>
      <c r="I32" s="222">
        <f t="shared" ca="1" si="8"/>
        <v>0</v>
      </c>
      <c r="J32" s="222">
        <f t="shared" si="9"/>
        <v>2</v>
      </c>
      <c r="K32" s="269" t="s">
        <v>4</v>
      </c>
      <c r="L32" s="336" t="s">
        <v>67</v>
      </c>
      <c r="M32" s="325" t="s">
        <v>68</v>
      </c>
      <c r="N32" s="326" t="s">
        <v>66</v>
      </c>
      <c r="O32" s="327">
        <v>26</v>
      </c>
      <c r="P32" s="328">
        <v>13.549615384615386</v>
      </c>
      <c r="Q32" s="329">
        <f t="shared" si="14"/>
        <v>0</v>
      </c>
      <c r="R32" s="330">
        <f t="shared" si="20"/>
        <v>352.29</v>
      </c>
      <c r="S32" s="331">
        <f t="shared" si="26"/>
        <v>26</v>
      </c>
      <c r="T32" s="337">
        <f t="shared" si="27"/>
        <v>0</v>
      </c>
      <c r="U32" s="332">
        <f t="shared" si="21"/>
        <v>26</v>
      </c>
      <c r="V32" s="338">
        <f t="shared" si="25"/>
        <v>352.29</v>
      </c>
      <c r="W32" s="339">
        <f t="shared" si="22"/>
        <v>0</v>
      </c>
      <c r="X32" s="340">
        <f t="shared" si="23"/>
        <v>352.29</v>
      </c>
      <c r="Y32" s="333"/>
      <c r="Z32" s="334">
        <v>26</v>
      </c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35"/>
      <c r="AL32" s="334"/>
      <c r="AM32" s="328"/>
      <c r="AN32" s="328"/>
      <c r="AO32" s="328"/>
      <c r="AP32" s="328"/>
      <c r="AQ32" s="271"/>
      <c r="AR32" s="271"/>
      <c r="AS32" s="271"/>
      <c r="AT32" s="271"/>
      <c r="AU32" s="271"/>
      <c r="AV32" s="271"/>
      <c r="AW32" s="272"/>
      <c r="AX32" s="245"/>
      <c r="AY32" s="273">
        <v>0</v>
      </c>
      <c r="AZ32" s="274">
        <f t="shared" si="15"/>
        <v>0</v>
      </c>
      <c r="BA32" s="275">
        <v>0</v>
      </c>
      <c r="BB32" s="276" t="e">
        <f t="shared" si="10"/>
        <v>#REF!</v>
      </c>
      <c r="BC32" s="277" t="e">
        <f t="shared" si="16"/>
        <v>#REF!</v>
      </c>
      <c r="BD32" s="278" t="e">
        <f t="shared" si="11"/>
        <v>#REF!</v>
      </c>
      <c r="BF32" s="770" t="e">
        <f t="shared" si="17"/>
        <v>#REF!</v>
      </c>
      <c r="BG32" s="771"/>
      <c r="BH32" s="279" t="e">
        <f t="shared" si="18"/>
        <v>#REF!</v>
      </c>
      <c r="BI32" s="772" t="e">
        <f t="shared" si="19"/>
        <v>#REF!</v>
      </c>
      <c r="BJ32" s="773"/>
      <c r="BK32" s="774" t="e">
        <f>IF(BR32&gt;0,CHOOSE(MATCH(RegimeExecucao,{"Unitário","Global"},0),IF($A32="S",BR32/BN32,""),(BR32/BN32)*100),"")</f>
        <v>#REF!</v>
      </c>
      <c r="BL32" s="775"/>
      <c r="BM32" s="776"/>
      <c r="BN32" s="777" t="e">
        <f>IF(BR32&gt;0,CHOOSE(MATCH(RegimeExecucao,{"Unitário","Global"},0),IF($A32="S",ROUND(P32,arredunit),""),ROUND(R32,arredtot)),"")</f>
        <v>#REF!</v>
      </c>
      <c r="BO32" s="778"/>
      <c r="BP32" s="778"/>
      <c r="BQ32" s="779"/>
      <c r="BR32" s="777" t="e">
        <f t="shared" si="1"/>
        <v>#REF!</v>
      </c>
      <c r="BS32" s="778"/>
      <c r="BT32" s="778"/>
      <c r="BU32" s="779"/>
      <c r="BV32" s="780"/>
      <c r="BW32" s="780"/>
      <c r="BX32" s="780"/>
      <c r="BY32" s="780"/>
      <c r="BZ32" s="780"/>
      <c r="CA32" s="781"/>
      <c r="CB32" s="245"/>
      <c r="CC32" s="245"/>
    </row>
    <row r="33" spans="1:81" s="222" customFormat="1" ht="62.4" customHeight="1">
      <c r="A33" s="222" t="str">
        <f t="shared" si="12"/>
        <v>S</v>
      </c>
      <c r="B33" s="222">
        <f t="shared" si="13"/>
        <v>0</v>
      </c>
      <c r="C33" s="222">
        <f t="shared" ca="1" si="2"/>
        <v>3</v>
      </c>
      <c r="D33" s="222">
        <f t="shared" ca="1" si="3"/>
        <v>1</v>
      </c>
      <c r="E33" s="222">
        <f t="shared" ca="1" si="4"/>
        <v>0</v>
      </c>
      <c r="F33" s="222">
        <f t="shared" ca="1" si="5"/>
        <v>0</v>
      </c>
      <c r="G33" s="222">
        <f t="shared" ca="1" si="6"/>
        <v>7</v>
      </c>
      <c r="H33" s="222">
        <f t="shared" ca="1" si="7"/>
        <v>0</v>
      </c>
      <c r="I33" s="222">
        <f t="shared" ca="1" si="8"/>
        <v>0</v>
      </c>
      <c r="J33" s="222">
        <f t="shared" si="9"/>
        <v>2</v>
      </c>
      <c r="K33" s="269" t="s">
        <v>4</v>
      </c>
      <c r="L33" s="336" t="s">
        <v>69</v>
      </c>
      <c r="M33" s="325" t="s">
        <v>70</v>
      </c>
      <c r="N33" s="326" t="s">
        <v>49</v>
      </c>
      <c r="O33" s="327">
        <v>1.5000262977962446</v>
      </c>
      <c r="P33" s="328">
        <v>380.26</v>
      </c>
      <c r="Q33" s="329">
        <f t="shared" si="14"/>
        <v>0</v>
      </c>
      <c r="R33" s="330">
        <f t="shared" si="20"/>
        <v>570.4</v>
      </c>
      <c r="S33" s="331">
        <f t="shared" si="26"/>
        <v>1.5</v>
      </c>
      <c r="T33" s="337">
        <f t="shared" si="27"/>
        <v>0</v>
      </c>
      <c r="U33" s="332">
        <f t="shared" si="21"/>
        <v>1.5</v>
      </c>
      <c r="V33" s="338">
        <f>P33*S33+0.01</f>
        <v>570.4</v>
      </c>
      <c r="W33" s="339">
        <f t="shared" si="22"/>
        <v>0</v>
      </c>
      <c r="X33" s="340">
        <f t="shared" si="23"/>
        <v>570.4</v>
      </c>
      <c r="Y33" s="333"/>
      <c r="Z33" s="334">
        <v>1.5</v>
      </c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35"/>
      <c r="AL33" s="334"/>
      <c r="AM33" s="328"/>
      <c r="AN33" s="328"/>
      <c r="AO33" s="328"/>
      <c r="AP33" s="328"/>
      <c r="AQ33" s="271"/>
      <c r="AR33" s="271"/>
      <c r="AS33" s="271"/>
      <c r="AT33" s="271"/>
      <c r="AU33" s="271"/>
      <c r="AV33" s="271"/>
      <c r="AW33" s="272"/>
      <c r="AX33" s="245"/>
      <c r="AY33" s="273">
        <v>0</v>
      </c>
      <c r="AZ33" s="274">
        <f t="shared" si="15"/>
        <v>0</v>
      </c>
      <c r="BA33" s="275">
        <v>0</v>
      </c>
      <c r="BB33" s="276" t="e">
        <f t="shared" si="10"/>
        <v>#REF!</v>
      </c>
      <c r="BC33" s="277" t="e">
        <f t="shared" si="16"/>
        <v>#REF!</v>
      </c>
      <c r="BD33" s="278" t="e">
        <f t="shared" si="11"/>
        <v>#REF!</v>
      </c>
      <c r="BF33" s="770" t="e">
        <f t="shared" si="17"/>
        <v>#REF!</v>
      </c>
      <c r="BG33" s="771"/>
      <c r="BH33" s="279" t="e">
        <f t="shared" si="18"/>
        <v>#REF!</v>
      </c>
      <c r="BI33" s="772" t="e">
        <f t="shared" si="19"/>
        <v>#REF!</v>
      </c>
      <c r="BJ33" s="773"/>
      <c r="BK33" s="774" t="e">
        <f>IF(BR33&gt;0,CHOOSE(MATCH(RegimeExecucao,{"Unitário","Global"},0),IF($A33="S",BR33/BN33,""),(BR33/BN33)*100),"")</f>
        <v>#REF!</v>
      </c>
      <c r="BL33" s="775"/>
      <c r="BM33" s="776"/>
      <c r="BN33" s="777" t="e">
        <f>IF(BR33&gt;0,CHOOSE(MATCH(RegimeExecucao,{"Unitário","Global"},0),IF($A33="S",ROUND(P33,arredunit),""),ROUND(R33,arredtot)),"")</f>
        <v>#REF!</v>
      </c>
      <c r="BO33" s="778"/>
      <c r="BP33" s="778"/>
      <c r="BQ33" s="779"/>
      <c r="BR33" s="777" t="e">
        <f t="shared" si="1"/>
        <v>#REF!</v>
      </c>
      <c r="BS33" s="778"/>
      <c r="BT33" s="778"/>
      <c r="BU33" s="779"/>
      <c r="BV33" s="780"/>
      <c r="BW33" s="780"/>
      <c r="BX33" s="780"/>
      <c r="BY33" s="780"/>
      <c r="BZ33" s="780"/>
      <c r="CA33" s="781"/>
      <c r="CB33" s="245"/>
      <c r="CC33" s="245"/>
    </row>
    <row r="34" spans="1:81" s="222" customFormat="1" ht="31.8" customHeight="1">
      <c r="A34" s="222" t="str">
        <f t="shared" si="12"/>
        <v>S</v>
      </c>
      <c r="B34" s="222">
        <f t="shared" si="13"/>
        <v>0</v>
      </c>
      <c r="C34" s="222">
        <f t="shared" ca="1" si="2"/>
        <v>3</v>
      </c>
      <c r="D34" s="222">
        <f t="shared" ca="1" si="3"/>
        <v>1</v>
      </c>
      <c r="E34" s="222">
        <f t="shared" ca="1" si="4"/>
        <v>0</v>
      </c>
      <c r="F34" s="222">
        <f t="shared" ca="1" si="5"/>
        <v>0</v>
      </c>
      <c r="G34" s="222">
        <f t="shared" ca="1" si="6"/>
        <v>8</v>
      </c>
      <c r="H34" s="222">
        <f t="shared" ca="1" si="7"/>
        <v>0</v>
      </c>
      <c r="I34" s="222">
        <f t="shared" ca="1" si="8"/>
        <v>0</v>
      </c>
      <c r="J34" s="222">
        <f t="shared" si="9"/>
        <v>2</v>
      </c>
      <c r="K34" s="269" t="s">
        <v>4</v>
      </c>
      <c r="L34" s="336" t="s">
        <v>71</v>
      </c>
      <c r="M34" s="325" t="s">
        <v>72</v>
      </c>
      <c r="N34" s="326" t="s">
        <v>49</v>
      </c>
      <c r="O34" s="327">
        <v>1.5</v>
      </c>
      <c r="P34" s="328">
        <v>31.88</v>
      </c>
      <c r="Q34" s="329">
        <f t="shared" si="14"/>
        <v>0</v>
      </c>
      <c r="R34" s="330">
        <f t="shared" si="20"/>
        <v>47.82</v>
      </c>
      <c r="S34" s="331">
        <f t="shared" si="26"/>
        <v>1.5</v>
      </c>
      <c r="T34" s="337">
        <f t="shared" si="27"/>
        <v>0</v>
      </c>
      <c r="U34" s="332">
        <f t="shared" si="21"/>
        <v>1.5</v>
      </c>
      <c r="V34" s="338">
        <f>P34*S34</f>
        <v>47.82</v>
      </c>
      <c r="W34" s="339">
        <f t="shared" si="22"/>
        <v>0</v>
      </c>
      <c r="X34" s="340">
        <f t="shared" si="23"/>
        <v>47.82</v>
      </c>
      <c r="Y34" s="333"/>
      <c r="Z34" s="334">
        <v>1.5</v>
      </c>
      <c r="AA34" s="328"/>
      <c r="AB34" s="328"/>
      <c r="AC34" s="328"/>
      <c r="AD34" s="328"/>
      <c r="AE34" s="328"/>
      <c r="AF34" s="328"/>
      <c r="AG34" s="328"/>
      <c r="AH34" s="328"/>
      <c r="AI34" s="328"/>
      <c r="AJ34" s="328"/>
      <c r="AK34" s="335"/>
      <c r="AL34" s="334"/>
      <c r="AM34" s="328"/>
      <c r="AN34" s="328"/>
      <c r="AO34" s="328"/>
      <c r="AP34" s="328"/>
      <c r="AQ34" s="271"/>
      <c r="AR34" s="271"/>
      <c r="AS34" s="271"/>
      <c r="AT34" s="271"/>
      <c r="AU34" s="271"/>
      <c r="AV34" s="271"/>
      <c r="AW34" s="272"/>
      <c r="AX34" s="245"/>
      <c r="AY34" s="273">
        <v>0</v>
      </c>
      <c r="AZ34" s="274">
        <f t="shared" si="15"/>
        <v>0</v>
      </c>
      <c r="BA34" s="275">
        <v>0</v>
      </c>
      <c r="BB34" s="276" t="e">
        <f t="shared" si="10"/>
        <v>#REF!</v>
      </c>
      <c r="BC34" s="277" t="e">
        <f t="shared" si="16"/>
        <v>#REF!</v>
      </c>
      <c r="BD34" s="278" t="e">
        <f t="shared" si="11"/>
        <v>#REF!</v>
      </c>
      <c r="BF34" s="770" t="e">
        <f t="shared" si="17"/>
        <v>#REF!</v>
      </c>
      <c r="BG34" s="771"/>
      <c r="BH34" s="279" t="e">
        <f t="shared" si="18"/>
        <v>#REF!</v>
      </c>
      <c r="BI34" s="772" t="e">
        <f t="shared" si="19"/>
        <v>#REF!</v>
      </c>
      <c r="BJ34" s="773"/>
      <c r="BK34" s="774" t="e">
        <f>IF(BR34&gt;0,CHOOSE(MATCH(RegimeExecucao,{"Unitário","Global"},0),IF($A34="S",BR34/BN34,""),(BR34/BN34)*100),"")</f>
        <v>#REF!</v>
      </c>
      <c r="BL34" s="775"/>
      <c r="BM34" s="776"/>
      <c r="BN34" s="777" t="e">
        <f>IF(BR34&gt;0,CHOOSE(MATCH(RegimeExecucao,{"Unitário","Global"},0),IF($A34="S",ROUND(P34,arredunit),""),ROUND(R34,arredtot)),"")</f>
        <v>#REF!</v>
      </c>
      <c r="BO34" s="778"/>
      <c r="BP34" s="778"/>
      <c r="BQ34" s="779"/>
      <c r="BR34" s="777" t="e">
        <f t="shared" si="1"/>
        <v>#REF!</v>
      </c>
      <c r="BS34" s="778"/>
      <c r="BT34" s="778"/>
      <c r="BU34" s="779"/>
      <c r="BV34" s="780"/>
      <c r="BW34" s="780"/>
      <c r="BX34" s="780"/>
      <c r="BY34" s="780"/>
      <c r="BZ34" s="780"/>
      <c r="CA34" s="781"/>
      <c r="CB34" s="245"/>
      <c r="CC34" s="245"/>
    </row>
    <row r="35" spans="1:81" s="222" customFormat="1" ht="18.600000000000001" customHeight="1">
      <c r="A35" s="222">
        <f t="shared" si="12"/>
        <v>2</v>
      </c>
      <c r="B35" s="222">
        <f t="shared" ca="1" si="13"/>
        <v>3</v>
      </c>
      <c r="C35" s="222">
        <f t="shared" ca="1" si="2"/>
        <v>3</v>
      </c>
      <c r="D35" s="222">
        <f t="shared" ca="1" si="3"/>
        <v>2</v>
      </c>
      <c r="E35" s="222">
        <f t="shared" ca="1" si="4"/>
        <v>0</v>
      </c>
      <c r="F35" s="222">
        <f t="shared" ca="1" si="5"/>
        <v>0</v>
      </c>
      <c r="G35" s="222">
        <f t="shared" ca="1" si="6"/>
        <v>0</v>
      </c>
      <c r="H35" s="222">
        <f t="shared" ca="1" si="7"/>
        <v>3</v>
      </c>
      <c r="I35" s="222" t="e">
        <f t="shared" ca="1" si="8"/>
        <v>#N/A</v>
      </c>
      <c r="J35" s="222">
        <f t="shared" si="9"/>
        <v>1</v>
      </c>
      <c r="K35" s="269" t="str">
        <f>CHOOSE(1+LOG(1+2*($J35=3)+4*($J35=2)+8*($J35=1)+16*(AND($L35&lt;&gt;"",$L35&lt;&gt;0,$J35=0))+32*OR($N35&lt;&gt;"",RegimeExecucao="Global",AND($L35="",$M35="",$N35="")),2),"","Nível 4","Nível 3","Nível 2","Meta","Serviço")</f>
        <v>Nível 2</v>
      </c>
      <c r="L35" s="336" t="s">
        <v>73</v>
      </c>
      <c r="M35" s="325" t="s">
        <v>74</v>
      </c>
      <c r="N35" s="326"/>
      <c r="O35" s="327"/>
      <c r="P35" s="328"/>
      <c r="Q35" s="329">
        <f t="shared" si="14"/>
        <v>945.0619999999999</v>
      </c>
      <c r="R35" s="330">
        <f>SUM(R36:R37)</f>
        <v>945.0619999999999</v>
      </c>
      <c r="S35" s="331">
        <f>Z35+AA35</f>
        <v>0</v>
      </c>
      <c r="T35" s="339">
        <f>SUM(T36:T37)</f>
        <v>0</v>
      </c>
      <c r="U35" s="332">
        <f t="shared" si="21"/>
        <v>0</v>
      </c>
      <c r="V35" s="338">
        <f>V36+V37</f>
        <v>945.0619999999999</v>
      </c>
      <c r="W35" s="339">
        <f>SUM(W36:W37)</f>
        <v>0</v>
      </c>
      <c r="X35" s="340">
        <f t="shared" si="23"/>
        <v>945.0619999999999</v>
      </c>
      <c r="Y35" s="333"/>
      <c r="Z35" s="334"/>
      <c r="AA35" s="328"/>
      <c r="AB35" s="328"/>
      <c r="AC35" s="328"/>
      <c r="AD35" s="328"/>
      <c r="AE35" s="328"/>
      <c r="AF35" s="328"/>
      <c r="AG35" s="328"/>
      <c r="AH35" s="328"/>
      <c r="AI35" s="328"/>
      <c r="AJ35" s="328"/>
      <c r="AK35" s="335"/>
      <c r="AL35" s="334"/>
      <c r="AM35" s="328"/>
      <c r="AN35" s="328"/>
      <c r="AO35" s="328"/>
      <c r="AP35" s="328"/>
      <c r="AQ35" s="271"/>
      <c r="AR35" s="271"/>
      <c r="AS35" s="271"/>
      <c r="AT35" s="271"/>
      <c r="AU35" s="271"/>
      <c r="AV35" s="271"/>
      <c r="AW35" s="272"/>
      <c r="AX35" s="245"/>
      <c r="AY35" s="273">
        <v>0</v>
      </c>
      <c r="AZ35" s="274">
        <f t="shared" si="15"/>
        <v>0</v>
      </c>
      <c r="BA35" s="275">
        <v>0</v>
      </c>
      <c r="BB35" s="276" t="e">
        <f t="shared" ca="1" si="10"/>
        <v>#REF!</v>
      </c>
      <c r="BC35" s="277" t="e">
        <f t="shared" ca="1" si="16"/>
        <v>#REF!</v>
      </c>
      <c r="BD35" s="278" t="e">
        <f t="shared" ca="1" si="11"/>
        <v>#REF!</v>
      </c>
      <c r="BF35" s="770" t="e">
        <f t="shared" ca="1" si="17"/>
        <v>#REF!</v>
      </c>
      <c r="BG35" s="771"/>
      <c r="BH35" s="279" t="e">
        <f t="shared" ca="1" si="18"/>
        <v>#REF!</v>
      </c>
      <c r="BI35" s="772" t="e">
        <f t="shared" ca="1" si="19"/>
        <v>#REF!</v>
      </c>
      <c r="BJ35" s="773"/>
      <c r="BK35" s="774" t="e">
        <f ca="1">IF(BR35&gt;0,CHOOSE(MATCH(RegimeExecucao,{"Unitário","Global"},0),IF($A35="S",BR35/BN35,""),(BR35/BN35)*100),"")</f>
        <v>#REF!</v>
      </c>
      <c r="BL35" s="775"/>
      <c r="BM35" s="776"/>
      <c r="BN35" s="777" t="e">
        <f ca="1">IF(BR35&gt;0,CHOOSE(MATCH(RegimeExecucao,{"Unitário","Global"},0),IF($A35="S",ROUND(P35,arredunit),""),ROUND(R35,arredtot)),"")</f>
        <v>#REF!</v>
      </c>
      <c r="BO35" s="778"/>
      <c r="BP35" s="778"/>
      <c r="BQ35" s="779"/>
      <c r="BR35" s="777" t="e">
        <f t="shared" ca="1" si="1"/>
        <v>#REF!</v>
      </c>
      <c r="BS35" s="778"/>
      <c r="BT35" s="778"/>
      <c r="BU35" s="779"/>
      <c r="BV35" s="780"/>
      <c r="BW35" s="780"/>
      <c r="BX35" s="780"/>
      <c r="BY35" s="780"/>
      <c r="BZ35" s="780"/>
      <c r="CA35" s="781"/>
      <c r="CB35" s="245"/>
      <c r="CC35" s="245"/>
    </row>
    <row r="36" spans="1:81" s="222" customFormat="1" ht="41.4">
      <c r="A36" s="222" t="str">
        <f t="shared" si="12"/>
        <v>S</v>
      </c>
      <c r="B36" s="222">
        <f t="shared" si="13"/>
        <v>0</v>
      </c>
      <c r="C36" s="222">
        <f t="shared" ca="1" si="2"/>
        <v>3</v>
      </c>
      <c r="D36" s="222">
        <f t="shared" ca="1" si="3"/>
        <v>2</v>
      </c>
      <c r="E36" s="222">
        <f t="shared" ca="1" si="4"/>
        <v>0</v>
      </c>
      <c r="F36" s="222">
        <f t="shared" ca="1" si="5"/>
        <v>0</v>
      </c>
      <c r="G36" s="222">
        <f t="shared" ca="1" si="6"/>
        <v>1</v>
      </c>
      <c r="H36" s="222">
        <f t="shared" ca="1" si="7"/>
        <v>0</v>
      </c>
      <c r="I36" s="222">
        <f t="shared" ca="1" si="8"/>
        <v>0</v>
      </c>
      <c r="J36" s="222">
        <f t="shared" si="9"/>
        <v>2</v>
      </c>
      <c r="K36" s="269" t="s">
        <v>4</v>
      </c>
      <c r="L36" s="336" t="s">
        <v>75</v>
      </c>
      <c r="M36" s="325" t="s">
        <v>76</v>
      </c>
      <c r="N36" s="326" t="s">
        <v>49</v>
      </c>
      <c r="O36" s="327">
        <v>0.9</v>
      </c>
      <c r="P36" s="328">
        <v>643.17999999999995</v>
      </c>
      <c r="Q36" s="329">
        <f t="shared" si="14"/>
        <v>0</v>
      </c>
      <c r="R36" s="330">
        <f t="shared" si="20"/>
        <v>578.86199999999997</v>
      </c>
      <c r="S36" s="331">
        <f t="shared" si="26"/>
        <v>0.9</v>
      </c>
      <c r="T36" s="337">
        <f t="shared" si="27"/>
        <v>0</v>
      </c>
      <c r="U36" s="332">
        <f t="shared" si="21"/>
        <v>0.9</v>
      </c>
      <c r="V36" s="338">
        <f>P36*S36</f>
        <v>578.86199999999997</v>
      </c>
      <c r="W36" s="339">
        <f t="shared" si="22"/>
        <v>0</v>
      </c>
      <c r="X36" s="340">
        <f t="shared" si="23"/>
        <v>578.86199999999997</v>
      </c>
      <c r="Y36" s="333"/>
      <c r="Z36" s="334">
        <v>0.9</v>
      </c>
      <c r="AA36" s="328"/>
      <c r="AB36" s="328"/>
      <c r="AC36" s="328"/>
      <c r="AD36" s="328"/>
      <c r="AE36" s="328"/>
      <c r="AF36" s="328"/>
      <c r="AG36" s="328"/>
      <c r="AH36" s="328"/>
      <c r="AI36" s="328"/>
      <c r="AJ36" s="328"/>
      <c r="AK36" s="335"/>
      <c r="AL36" s="334"/>
      <c r="AM36" s="328"/>
      <c r="AN36" s="328"/>
      <c r="AO36" s="328"/>
      <c r="AP36" s="328"/>
      <c r="AQ36" s="271"/>
      <c r="AR36" s="271"/>
      <c r="AS36" s="271"/>
      <c r="AT36" s="271"/>
      <c r="AU36" s="271"/>
      <c r="AV36" s="271"/>
      <c r="AW36" s="272"/>
      <c r="AX36" s="245"/>
      <c r="AY36" s="273">
        <v>0</v>
      </c>
      <c r="AZ36" s="274">
        <f t="shared" si="15"/>
        <v>0</v>
      </c>
      <c r="BA36" s="275">
        <v>0</v>
      </c>
      <c r="BB36" s="276" t="e">
        <f t="shared" si="10"/>
        <v>#REF!</v>
      </c>
      <c r="BC36" s="277" t="e">
        <f t="shared" si="16"/>
        <v>#REF!</v>
      </c>
      <c r="BD36" s="278" t="e">
        <f t="shared" si="11"/>
        <v>#REF!</v>
      </c>
      <c r="BF36" s="770" t="e">
        <f t="shared" si="17"/>
        <v>#REF!</v>
      </c>
      <c r="BG36" s="771"/>
      <c r="BH36" s="279" t="e">
        <f t="shared" si="18"/>
        <v>#REF!</v>
      </c>
      <c r="BI36" s="772" t="e">
        <f t="shared" si="19"/>
        <v>#REF!</v>
      </c>
      <c r="BJ36" s="773"/>
      <c r="BK36" s="774" t="e">
        <f>IF(BR36&gt;0,CHOOSE(MATCH(RegimeExecucao,{"Unitário","Global"},0),IF($A36="S",BR36/BN36,""),(BR36/BN36)*100),"")</f>
        <v>#REF!</v>
      </c>
      <c r="BL36" s="775"/>
      <c r="BM36" s="776"/>
      <c r="BN36" s="777" t="e">
        <f>IF(BR36&gt;0,CHOOSE(MATCH(RegimeExecucao,{"Unitário","Global"},0),IF($A36="S",ROUND(P36,arredunit),""),ROUND(R36,arredtot)),"")</f>
        <v>#REF!</v>
      </c>
      <c r="BO36" s="778"/>
      <c r="BP36" s="778"/>
      <c r="BQ36" s="779"/>
      <c r="BR36" s="777" t="e">
        <f t="shared" si="1"/>
        <v>#REF!</v>
      </c>
      <c r="BS36" s="778"/>
      <c r="BT36" s="778"/>
      <c r="BU36" s="779"/>
      <c r="BV36" s="780"/>
      <c r="BW36" s="780"/>
      <c r="BX36" s="780"/>
      <c r="BY36" s="780"/>
      <c r="BZ36" s="780"/>
      <c r="CA36" s="781"/>
      <c r="CB36" s="245"/>
      <c r="CC36" s="245"/>
    </row>
    <row r="37" spans="1:81" s="222" customFormat="1" ht="27.6">
      <c r="A37" s="222" t="str">
        <f t="shared" si="12"/>
        <v>S</v>
      </c>
      <c r="B37" s="222">
        <f t="shared" si="13"/>
        <v>0</v>
      </c>
      <c r="C37" s="222">
        <f t="shared" ca="1" si="2"/>
        <v>3</v>
      </c>
      <c r="D37" s="222">
        <f t="shared" ca="1" si="3"/>
        <v>2</v>
      </c>
      <c r="E37" s="222">
        <f t="shared" ca="1" si="4"/>
        <v>0</v>
      </c>
      <c r="F37" s="222">
        <f t="shared" ca="1" si="5"/>
        <v>0</v>
      </c>
      <c r="G37" s="222">
        <f t="shared" ca="1" si="6"/>
        <v>2</v>
      </c>
      <c r="H37" s="222">
        <f t="shared" ca="1" si="7"/>
        <v>0</v>
      </c>
      <c r="I37" s="222">
        <f t="shared" ca="1" si="8"/>
        <v>0</v>
      </c>
      <c r="J37" s="222">
        <f t="shared" si="9"/>
        <v>2</v>
      </c>
      <c r="K37" s="269" t="s">
        <v>4</v>
      </c>
      <c r="L37" s="336" t="s">
        <v>77</v>
      </c>
      <c r="M37" s="325" t="s">
        <v>78</v>
      </c>
      <c r="N37" s="326" t="s">
        <v>43</v>
      </c>
      <c r="O37" s="327">
        <v>32</v>
      </c>
      <c r="P37" s="328">
        <v>11.44375</v>
      </c>
      <c r="Q37" s="329">
        <f t="shared" si="14"/>
        <v>0</v>
      </c>
      <c r="R37" s="330">
        <f t="shared" si="20"/>
        <v>366.2</v>
      </c>
      <c r="S37" s="331">
        <f t="shared" si="26"/>
        <v>32</v>
      </c>
      <c r="T37" s="337">
        <f t="shared" si="27"/>
        <v>0</v>
      </c>
      <c r="U37" s="332">
        <f t="shared" si="21"/>
        <v>32</v>
      </c>
      <c r="V37" s="338">
        <f>P37*S37</f>
        <v>366.2</v>
      </c>
      <c r="W37" s="339">
        <f t="shared" si="22"/>
        <v>0</v>
      </c>
      <c r="X37" s="340">
        <f t="shared" si="23"/>
        <v>366.2</v>
      </c>
      <c r="Y37" s="333"/>
      <c r="Z37" s="334">
        <v>32</v>
      </c>
      <c r="AA37" s="328"/>
      <c r="AB37" s="328"/>
      <c r="AC37" s="328"/>
      <c r="AD37" s="328"/>
      <c r="AE37" s="328"/>
      <c r="AF37" s="328"/>
      <c r="AG37" s="328"/>
      <c r="AH37" s="328"/>
      <c r="AI37" s="328"/>
      <c r="AJ37" s="328"/>
      <c r="AK37" s="335"/>
      <c r="AL37" s="334"/>
      <c r="AM37" s="328"/>
      <c r="AN37" s="328"/>
      <c r="AO37" s="328"/>
      <c r="AP37" s="328"/>
      <c r="AQ37" s="271"/>
      <c r="AR37" s="271"/>
      <c r="AS37" s="271"/>
      <c r="AT37" s="271"/>
      <c r="AU37" s="271"/>
      <c r="AV37" s="271"/>
      <c r="AW37" s="272"/>
      <c r="AX37" s="245"/>
      <c r="AY37" s="273">
        <v>0</v>
      </c>
      <c r="AZ37" s="274">
        <f t="shared" si="15"/>
        <v>0</v>
      </c>
      <c r="BA37" s="275">
        <v>0</v>
      </c>
      <c r="BB37" s="276" t="e">
        <f t="shared" si="10"/>
        <v>#REF!</v>
      </c>
      <c r="BC37" s="277" t="e">
        <f t="shared" si="16"/>
        <v>#REF!</v>
      </c>
      <c r="BD37" s="278" t="e">
        <f t="shared" si="11"/>
        <v>#REF!</v>
      </c>
      <c r="BF37" s="770" t="e">
        <f t="shared" si="17"/>
        <v>#REF!</v>
      </c>
      <c r="BG37" s="771"/>
      <c r="BH37" s="279" t="e">
        <f t="shared" si="18"/>
        <v>#REF!</v>
      </c>
      <c r="BI37" s="772" t="e">
        <f t="shared" si="19"/>
        <v>#REF!</v>
      </c>
      <c r="BJ37" s="773"/>
      <c r="BK37" s="774" t="e">
        <f>IF(BR37&gt;0,CHOOSE(MATCH(RegimeExecucao,{"Unitário","Global"},0),IF($A37="S",BR37/BN37,""),(BR37/BN37)*100),"")</f>
        <v>#REF!</v>
      </c>
      <c r="BL37" s="775"/>
      <c r="BM37" s="776"/>
      <c r="BN37" s="777" t="e">
        <f>IF(BR37&gt;0,CHOOSE(MATCH(RegimeExecucao,{"Unitário","Global"},0),IF($A37="S",ROUND(P37,arredunit),""),ROUND(R37,arredtot)),"")</f>
        <v>#REF!</v>
      </c>
      <c r="BO37" s="778"/>
      <c r="BP37" s="778"/>
      <c r="BQ37" s="779"/>
      <c r="BR37" s="777" t="e">
        <f t="shared" si="1"/>
        <v>#REF!</v>
      </c>
      <c r="BS37" s="778"/>
      <c r="BT37" s="778"/>
      <c r="BU37" s="779"/>
      <c r="BV37" s="780"/>
      <c r="BW37" s="780"/>
      <c r="BX37" s="780"/>
      <c r="BY37" s="780"/>
      <c r="BZ37" s="780"/>
      <c r="CA37" s="781"/>
      <c r="CB37" s="245"/>
      <c r="CC37" s="245"/>
    </row>
    <row r="38" spans="1:81" s="222" customFormat="1" ht="13.8">
      <c r="A38" s="222">
        <f t="shared" si="12"/>
        <v>1</v>
      </c>
      <c r="B38" s="222">
        <f t="shared" ca="1" si="13"/>
        <v>2</v>
      </c>
      <c r="C38" s="222">
        <f t="shared" ca="1" si="2"/>
        <v>4</v>
      </c>
      <c r="D38" s="222">
        <f t="shared" ca="1" si="3"/>
        <v>0</v>
      </c>
      <c r="E38" s="222">
        <f t="shared" ca="1" si="4"/>
        <v>0</v>
      </c>
      <c r="F38" s="222">
        <f t="shared" ca="1" si="5"/>
        <v>0</v>
      </c>
      <c r="G38" s="222">
        <f t="shared" ca="1" si="6"/>
        <v>0</v>
      </c>
      <c r="H38" s="222">
        <f t="shared" ca="1" si="7"/>
        <v>58</v>
      </c>
      <c r="I38" s="222">
        <f t="shared" ca="1" si="8"/>
        <v>2</v>
      </c>
      <c r="J38" s="222">
        <f t="shared" si="9"/>
        <v>0</v>
      </c>
      <c r="K38" s="269" t="str">
        <f>CHOOSE(1+LOG(1+2*($J38=3)+4*($J38=2)+8*($J38=1)+16*(AND($L38&lt;&gt;"",$L38&lt;&gt;0,$J38=0))+32*OR($N38&lt;&gt;"",RegimeExecucao="Global",AND($L38="",$M38="",$N38="")),2),"","Nível 4","Nível 3","Nível 2","Meta","Serviço")</f>
        <v>Meta</v>
      </c>
      <c r="L38" s="324">
        <v>4</v>
      </c>
      <c r="M38" s="325" t="s">
        <v>79</v>
      </c>
      <c r="N38" s="326"/>
      <c r="O38" s="327"/>
      <c r="P38" s="328"/>
      <c r="Q38" s="329">
        <f t="shared" si="14"/>
        <v>6601.99</v>
      </c>
      <c r="R38" s="330">
        <f>R39</f>
        <v>6601.99</v>
      </c>
      <c r="S38" s="331">
        <f>Z38+AA38</f>
        <v>0</v>
      </c>
      <c r="T38" s="339">
        <f>T39</f>
        <v>0</v>
      </c>
      <c r="U38" s="332">
        <f t="shared" si="21"/>
        <v>0</v>
      </c>
      <c r="V38" s="338">
        <f>V39</f>
        <v>3138.4104314814817</v>
      </c>
      <c r="W38" s="339">
        <f>W39</f>
        <v>0</v>
      </c>
      <c r="X38" s="340">
        <f t="shared" si="23"/>
        <v>3138.4104314814817</v>
      </c>
      <c r="Y38" s="333"/>
      <c r="Z38" s="334"/>
      <c r="AA38" s="328"/>
      <c r="AB38" s="328"/>
      <c r="AC38" s="328"/>
      <c r="AD38" s="328"/>
      <c r="AE38" s="328"/>
      <c r="AF38" s="328"/>
      <c r="AG38" s="328"/>
      <c r="AH38" s="328"/>
      <c r="AI38" s="328"/>
      <c r="AJ38" s="328"/>
      <c r="AK38" s="335"/>
      <c r="AL38" s="334"/>
      <c r="AM38" s="328"/>
      <c r="AN38" s="328"/>
      <c r="AO38" s="328"/>
      <c r="AP38" s="328"/>
      <c r="AQ38" s="271"/>
      <c r="AR38" s="271"/>
      <c r="AS38" s="271"/>
      <c r="AT38" s="271"/>
      <c r="AU38" s="271"/>
      <c r="AV38" s="271"/>
      <c r="AW38" s="272"/>
      <c r="AX38" s="245"/>
      <c r="AY38" s="273">
        <v>0</v>
      </c>
      <c r="AZ38" s="274">
        <f t="shared" si="15"/>
        <v>0</v>
      </c>
      <c r="BA38" s="275">
        <v>0</v>
      </c>
      <c r="BB38" s="276" t="e">
        <f t="shared" ca="1" si="10"/>
        <v>#REF!</v>
      </c>
      <c r="BC38" s="277" t="e">
        <f t="shared" ca="1" si="16"/>
        <v>#REF!</v>
      </c>
      <c r="BD38" s="278" t="e">
        <f t="shared" ca="1" si="11"/>
        <v>#REF!</v>
      </c>
      <c r="BF38" s="770" t="e">
        <f t="shared" ca="1" si="17"/>
        <v>#REF!</v>
      </c>
      <c r="BG38" s="771"/>
      <c r="BH38" s="279" t="e">
        <f t="shared" ca="1" si="18"/>
        <v>#REF!</v>
      </c>
      <c r="BI38" s="772" t="e">
        <f t="shared" ca="1" si="19"/>
        <v>#REF!</v>
      </c>
      <c r="BJ38" s="773"/>
      <c r="BK38" s="774" t="e">
        <f ca="1">IF(BR38&gt;0,CHOOSE(MATCH(RegimeExecucao,{"Unitário","Global"},0),IF($A38="S",BR38/BN38,""),(BR38/BN38)*100),"")</f>
        <v>#REF!</v>
      </c>
      <c r="BL38" s="775"/>
      <c r="BM38" s="776"/>
      <c r="BN38" s="777" t="e">
        <f ca="1">IF(BR38&gt;0,CHOOSE(MATCH(RegimeExecucao,{"Unitário","Global"},0),IF($A38="S",ROUND(P38,arredunit),""),ROUND(R38,arredtot)),"")</f>
        <v>#REF!</v>
      </c>
      <c r="BO38" s="778"/>
      <c r="BP38" s="778"/>
      <c r="BQ38" s="779"/>
      <c r="BR38" s="777" t="e">
        <f t="shared" ca="1" si="1"/>
        <v>#REF!</v>
      </c>
      <c r="BS38" s="778"/>
      <c r="BT38" s="778"/>
      <c r="BU38" s="779"/>
      <c r="BV38" s="780"/>
      <c r="BW38" s="780"/>
      <c r="BX38" s="780"/>
      <c r="BY38" s="780"/>
      <c r="BZ38" s="780"/>
      <c r="CA38" s="781"/>
      <c r="CB38" s="245"/>
      <c r="CC38" s="245"/>
    </row>
    <row r="39" spans="1:81" s="222" customFormat="1" ht="82.8">
      <c r="A39" s="222" t="str">
        <f t="shared" si="12"/>
        <v>S</v>
      </c>
      <c r="B39" s="222">
        <f t="shared" si="13"/>
        <v>0</v>
      </c>
      <c r="C39" s="222">
        <f t="shared" ca="1" si="2"/>
        <v>4</v>
      </c>
      <c r="D39" s="222">
        <f t="shared" ca="1" si="3"/>
        <v>0</v>
      </c>
      <c r="E39" s="222">
        <f t="shared" ca="1" si="4"/>
        <v>0</v>
      </c>
      <c r="F39" s="222">
        <f t="shared" ca="1" si="5"/>
        <v>0</v>
      </c>
      <c r="G39" s="222">
        <f t="shared" ca="1" si="6"/>
        <v>1</v>
      </c>
      <c r="H39" s="222">
        <f t="shared" ca="1" si="7"/>
        <v>0</v>
      </c>
      <c r="I39" s="222">
        <f t="shared" ca="1" si="8"/>
        <v>0</v>
      </c>
      <c r="J39" s="222">
        <f t="shared" si="9"/>
        <v>1</v>
      </c>
      <c r="K39" s="269" t="s">
        <v>4</v>
      </c>
      <c r="L39" s="336" t="s">
        <v>80</v>
      </c>
      <c r="M39" s="325" t="s">
        <v>81</v>
      </c>
      <c r="N39" s="326" t="s">
        <v>43</v>
      </c>
      <c r="O39" s="327">
        <v>108</v>
      </c>
      <c r="P39" s="328">
        <v>61.129537037037039</v>
      </c>
      <c r="Q39" s="329">
        <f t="shared" si="14"/>
        <v>0</v>
      </c>
      <c r="R39" s="330">
        <f t="shared" si="20"/>
        <v>6601.99</v>
      </c>
      <c r="S39" s="331">
        <f t="shared" si="26"/>
        <v>51.34</v>
      </c>
      <c r="T39" s="337">
        <f t="shared" si="27"/>
        <v>0</v>
      </c>
      <c r="U39" s="332">
        <f t="shared" si="21"/>
        <v>51.34</v>
      </c>
      <c r="V39" s="338">
        <f>P39*S39+0.02</f>
        <v>3138.4104314814817</v>
      </c>
      <c r="W39" s="339">
        <f t="shared" si="22"/>
        <v>0</v>
      </c>
      <c r="X39" s="340">
        <f t="shared" si="23"/>
        <v>3138.4104314814817</v>
      </c>
      <c r="Y39" s="333"/>
      <c r="Z39" s="334"/>
      <c r="AA39" s="328">
        <v>51.34</v>
      </c>
      <c r="AB39" s="328"/>
      <c r="AC39" s="328"/>
      <c r="AD39" s="328"/>
      <c r="AE39" s="328"/>
      <c r="AF39" s="328"/>
      <c r="AG39" s="328"/>
      <c r="AH39" s="328"/>
      <c r="AI39" s="328"/>
      <c r="AJ39" s="328"/>
      <c r="AK39" s="335"/>
      <c r="AL39" s="334"/>
      <c r="AM39" s="328"/>
      <c r="AN39" s="328"/>
      <c r="AO39" s="328"/>
      <c r="AP39" s="328"/>
      <c r="AQ39" s="271"/>
      <c r="AR39" s="271"/>
      <c r="AS39" s="271"/>
      <c r="AT39" s="271"/>
      <c r="AU39" s="271"/>
      <c r="AV39" s="271"/>
      <c r="AW39" s="272"/>
      <c r="AX39" s="245"/>
      <c r="AY39" s="273">
        <v>0</v>
      </c>
      <c r="AZ39" s="274">
        <f t="shared" si="15"/>
        <v>0</v>
      </c>
      <c r="BA39" s="275">
        <v>0</v>
      </c>
      <c r="BB39" s="276" t="e">
        <f t="shared" si="10"/>
        <v>#REF!</v>
      </c>
      <c r="BC39" s="277" t="e">
        <f t="shared" si="16"/>
        <v>#REF!</v>
      </c>
      <c r="BD39" s="278" t="e">
        <f t="shared" si="11"/>
        <v>#REF!</v>
      </c>
      <c r="BF39" s="770" t="e">
        <f t="shared" si="17"/>
        <v>#REF!</v>
      </c>
      <c r="BG39" s="771"/>
      <c r="BH39" s="279" t="e">
        <f t="shared" si="18"/>
        <v>#REF!</v>
      </c>
      <c r="BI39" s="772" t="e">
        <f t="shared" si="19"/>
        <v>#REF!</v>
      </c>
      <c r="BJ39" s="773"/>
      <c r="BK39" s="774" t="e">
        <f>IF(BR39&gt;0,CHOOSE(MATCH(RegimeExecucao,{"Unitário","Global"},0),IF($A39="S",BR39/BN39,""),(BR39/BN39)*100),"")</f>
        <v>#REF!</v>
      </c>
      <c r="BL39" s="775"/>
      <c r="BM39" s="776"/>
      <c r="BN39" s="777" t="e">
        <f>IF(BR39&gt;0,CHOOSE(MATCH(RegimeExecucao,{"Unitário","Global"},0),IF($A39="S",ROUND(P39,arredunit),""),ROUND(R39,arredtot)),"")</f>
        <v>#REF!</v>
      </c>
      <c r="BO39" s="778"/>
      <c r="BP39" s="778"/>
      <c r="BQ39" s="779"/>
      <c r="BR39" s="777" t="e">
        <f t="shared" si="1"/>
        <v>#REF!</v>
      </c>
      <c r="BS39" s="778"/>
      <c r="BT39" s="778"/>
      <c r="BU39" s="779"/>
      <c r="BV39" s="780"/>
      <c r="BW39" s="780"/>
      <c r="BX39" s="780"/>
      <c r="BY39" s="780"/>
      <c r="BZ39" s="780"/>
      <c r="CA39" s="781"/>
      <c r="CB39" s="245"/>
      <c r="CC39" s="245"/>
    </row>
    <row r="40" spans="1:81" s="222" customFormat="1" ht="13.8">
      <c r="A40" s="222">
        <f t="shared" si="12"/>
        <v>1</v>
      </c>
      <c r="B40" s="222">
        <f t="shared" ca="1" si="13"/>
        <v>6</v>
      </c>
      <c r="C40" s="222">
        <f t="shared" ca="1" si="2"/>
        <v>5</v>
      </c>
      <c r="D40" s="222">
        <f t="shared" ca="1" si="3"/>
        <v>0</v>
      </c>
      <c r="E40" s="222">
        <f t="shared" ca="1" si="4"/>
        <v>0</v>
      </c>
      <c r="F40" s="222">
        <f t="shared" ca="1" si="5"/>
        <v>0</v>
      </c>
      <c r="G40" s="222">
        <f t="shared" ca="1" si="6"/>
        <v>0</v>
      </c>
      <c r="H40" s="222">
        <f t="shared" ca="1" si="7"/>
        <v>56</v>
      </c>
      <c r="I40" s="222">
        <f t="shared" ca="1" si="8"/>
        <v>6</v>
      </c>
      <c r="J40" s="222">
        <f t="shared" si="9"/>
        <v>0</v>
      </c>
      <c r="K40" s="269" t="str">
        <f>CHOOSE(1+LOG(1+2*($J40=3)+4*($J40=2)+8*($J40=1)+16*(AND($L40&lt;&gt;"",$L40&lt;&gt;0,$J40=0))+32*OR($N40&lt;&gt;"",RegimeExecucao="Global",AND($L40="",$M40="",$N40="")),2),"","Nível 4","Nível 3","Nível 2","Meta","Serviço")</f>
        <v>Meta</v>
      </c>
      <c r="L40" s="324">
        <v>5</v>
      </c>
      <c r="M40" s="325" t="s">
        <v>82</v>
      </c>
      <c r="N40" s="326"/>
      <c r="O40" s="327"/>
      <c r="P40" s="328"/>
      <c r="Q40" s="329">
        <f t="shared" si="14"/>
        <v>13363.421</v>
      </c>
      <c r="R40" s="330">
        <f>SUM(R41:R45)</f>
        <v>13363.421</v>
      </c>
      <c r="S40" s="331">
        <f>Z40+AA40</f>
        <v>0</v>
      </c>
      <c r="T40" s="339"/>
      <c r="U40" s="332">
        <f t="shared" si="21"/>
        <v>0</v>
      </c>
      <c r="V40" s="338">
        <f>SUM(V41:V45)</f>
        <v>4638.9009999999998</v>
      </c>
      <c r="W40" s="339">
        <f>SUM(W41:W45)</f>
        <v>8724.52</v>
      </c>
      <c r="X40" s="340">
        <f t="shared" si="23"/>
        <v>13363.421</v>
      </c>
      <c r="Y40" s="333"/>
      <c r="Z40" s="334"/>
      <c r="AA40" s="328"/>
      <c r="AB40" s="328"/>
      <c r="AC40" s="328"/>
      <c r="AD40" s="328"/>
      <c r="AE40" s="328"/>
      <c r="AF40" s="328"/>
      <c r="AG40" s="328"/>
      <c r="AH40" s="328"/>
      <c r="AI40" s="328"/>
      <c r="AJ40" s="328"/>
      <c r="AK40" s="335"/>
      <c r="AL40" s="334"/>
      <c r="AM40" s="328"/>
      <c r="AN40" s="328"/>
      <c r="AO40" s="328"/>
      <c r="AP40" s="328"/>
      <c r="AQ40" s="271"/>
      <c r="AR40" s="271"/>
      <c r="AS40" s="271"/>
      <c r="AT40" s="271"/>
      <c r="AU40" s="271"/>
      <c r="AV40" s="271"/>
      <c r="AW40" s="272"/>
      <c r="AX40" s="245"/>
      <c r="AY40" s="273">
        <v>0</v>
      </c>
      <c r="AZ40" s="274">
        <f t="shared" si="15"/>
        <v>0</v>
      </c>
      <c r="BA40" s="275">
        <v>0</v>
      </c>
      <c r="BB40" s="276" t="e">
        <f t="shared" ca="1" si="10"/>
        <v>#REF!</v>
      </c>
      <c r="BC40" s="277" t="e">
        <f t="shared" ca="1" si="16"/>
        <v>#REF!</v>
      </c>
      <c r="BD40" s="278" t="e">
        <f t="shared" ca="1" si="11"/>
        <v>#REF!</v>
      </c>
      <c r="BF40" s="770" t="e">
        <f t="shared" ca="1" si="17"/>
        <v>#REF!</v>
      </c>
      <c r="BG40" s="771"/>
      <c r="BH40" s="279" t="e">
        <f t="shared" ca="1" si="18"/>
        <v>#REF!</v>
      </c>
      <c r="BI40" s="772" t="e">
        <f t="shared" ca="1" si="19"/>
        <v>#REF!</v>
      </c>
      <c r="BJ40" s="773"/>
      <c r="BK40" s="774" t="e">
        <f ca="1">IF(BR40&gt;0,CHOOSE(MATCH(RegimeExecucao,{"Unitário","Global"},0),IF($A40="S",BR40/BN40,""),(BR40/BN40)*100),"")</f>
        <v>#REF!</v>
      </c>
      <c r="BL40" s="775"/>
      <c r="BM40" s="776"/>
      <c r="BN40" s="777" t="e">
        <f ca="1">IF(BR40&gt;0,CHOOSE(MATCH(RegimeExecucao,{"Unitário","Global"},0),IF($A40="S",ROUND(P40,arredunit),""),ROUND(R40,arredtot)),"")</f>
        <v>#REF!</v>
      </c>
      <c r="BO40" s="778"/>
      <c r="BP40" s="778"/>
      <c r="BQ40" s="779"/>
      <c r="BR40" s="777" t="e">
        <f t="shared" ca="1" si="1"/>
        <v>#REF!</v>
      </c>
      <c r="BS40" s="778"/>
      <c r="BT40" s="778"/>
      <c r="BU40" s="779"/>
      <c r="BV40" s="780"/>
      <c r="BW40" s="780"/>
      <c r="BX40" s="780"/>
      <c r="BY40" s="780"/>
      <c r="BZ40" s="780"/>
      <c r="CA40" s="781"/>
      <c r="CB40" s="245"/>
      <c r="CC40" s="245"/>
    </row>
    <row r="41" spans="1:81" s="222" customFormat="1" ht="27.6">
      <c r="A41" s="222" t="str">
        <f t="shared" si="12"/>
        <v>S</v>
      </c>
      <c r="B41" s="222">
        <f t="shared" si="13"/>
        <v>0</v>
      </c>
      <c r="C41" s="222">
        <f t="shared" ca="1" si="2"/>
        <v>5</v>
      </c>
      <c r="D41" s="222">
        <f t="shared" ca="1" si="3"/>
        <v>0</v>
      </c>
      <c r="E41" s="222">
        <f t="shared" ca="1" si="4"/>
        <v>0</v>
      </c>
      <c r="F41" s="222">
        <f t="shared" ca="1" si="5"/>
        <v>0</v>
      </c>
      <c r="G41" s="222">
        <f t="shared" ca="1" si="6"/>
        <v>1</v>
      </c>
      <c r="H41" s="222">
        <f t="shared" ca="1" si="7"/>
        <v>0</v>
      </c>
      <c r="I41" s="222">
        <f t="shared" ca="1" si="8"/>
        <v>0</v>
      </c>
      <c r="J41" s="222">
        <f t="shared" si="9"/>
        <v>1</v>
      </c>
      <c r="K41" s="269" t="s">
        <v>4</v>
      </c>
      <c r="L41" s="336" t="s">
        <v>83</v>
      </c>
      <c r="M41" s="325" t="s">
        <v>84</v>
      </c>
      <c r="N41" s="326" t="s">
        <v>43</v>
      </c>
      <c r="O41" s="327">
        <v>10</v>
      </c>
      <c r="P41" s="328">
        <v>335.32</v>
      </c>
      <c r="Q41" s="329">
        <f t="shared" si="14"/>
        <v>0</v>
      </c>
      <c r="R41" s="330">
        <f t="shared" si="20"/>
        <v>3353.2</v>
      </c>
      <c r="S41" s="331">
        <f t="shared" si="26"/>
        <v>10</v>
      </c>
      <c r="T41" s="337">
        <f t="shared" si="27"/>
        <v>0</v>
      </c>
      <c r="U41" s="332">
        <f t="shared" si="21"/>
        <v>10</v>
      </c>
      <c r="V41" s="338">
        <f>P41*S41</f>
        <v>3353.2</v>
      </c>
      <c r="W41" s="339">
        <f>IF(O41-AC41&gt;0.01,AC41*P41,R41)</f>
        <v>0</v>
      </c>
      <c r="X41" s="340">
        <f t="shared" si="23"/>
        <v>3353.2</v>
      </c>
      <c r="Y41" s="333"/>
      <c r="Z41" s="334"/>
      <c r="AA41" s="328"/>
      <c r="AB41" s="328">
        <v>10</v>
      </c>
      <c r="AC41" s="328"/>
      <c r="AD41" s="328"/>
      <c r="AE41" s="328"/>
      <c r="AF41" s="328"/>
      <c r="AG41" s="328"/>
      <c r="AH41" s="328"/>
      <c r="AI41" s="328"/>
      <c r="AJ41" s="328"/>
      <c r="AK41" s="335"/>
      <c r="AL41" s="334"/>
      <c r="AM41" s="328"/>
      <c r="AN41" s="328"/>
      <c r="AO41" s="328"/>
      <c r="AP41" s="328"/>
      <c r="AQ41" s="271"/>
      <c r="AR41" s="271"/>
      <c r="AS41" s="271"/>
      <c r="AT41" s="271"/>
      <c r="AU41" s="271"/>
      <c r="AV41" s="271"/>
      <c r="AW41" s="272"/>
      <c r="AX41" s="245"/>
      <c r="AY41" s="273">
        <v>0</v>
      </c>
      <c r="AZ41" s="274">
        <f t="shared" si="15"/>
        <v>0</v>
      </c>
      <c r="BA41" s="275">
        <v>0</v>
      </c>
      <c r="BB41" s="276" t="e">
        <f t="shared" si="10"/>
        <v>#REF!</v>
      </c>
      <c r="BC41" s="277" t="e">
        <f t="shared" si="16"/>
        <v>#REF!</v>
      </c>
      <c r="BD41" s="278" t="e">
        <f t="shared" si="11"/>
        <v>#REF!</v>
      </c>
      <c r="BF41" s="770" t="e">
        <f t="shared" si="17"/>
        <v>#REF!</v>
      </c>
      <c r="BG41" s="771"/>
      <c r="BH41" s="279" t="e">
        <f t="shared" si="18"/>
        <v>#REF!</v>
      </c>
      <c r="BI41" s="772" t="e">
        <f t="shared" si="19"/>
        <v>#REF!</v>
      </c>
      <c r="BJ41" s="773"/>
      <c r="BK41" s="774" t="e">
        <f>IF(BR41&gt;0,CHOOSE(MATCH(RegimeExecucao,{"Unitário","Global"},0),IF($A41="S",BR41/BN41,""),(BR41/BN41)*100),"")</f>
        <v>#REF!</v>
      </c>
      <c r="BL41" s="775"/>
      <c r="BM41" s="776"/>
      <c r="BN41" s="777" t="e">
        <f>IF(BR41&gt;0,CHOOSE(MATCH(RegimeExecucao,{"Unitário","Global"},0),IF($A41="S",ROUND(P41,arredunit),""),ROUND(R41,arredtot)),"")</f>
        <v>#REF!</v>
      </c>
      <c r="BO41" s="778"/>
      <c r="BP41" s="778"/>
      <c r="BQ41" s="779"/>
      <c r="BR41" s="777" t="e">
        <f t="shared" si="1"/>
        <v>#REF!</v>
      </c>
      <c r="BS41" s="778"/>
      <c r="BT41" s="778"/>
      <c r="BU41" s="779"/>
      <c r="BV41" s="780"/>
      <c r="BW41" s="780"/>
      <c r="BX41" s="780"/>
      <c r="BY41" s="780"/>
      <c r="BZ41" s="780"/>
      <c r="CA41" s="781"/>
      <c r="CB41" s="245"/>
      <c r="CC41" s="245"/>
    </row>
    <row r="42" spans="1:81" s="222" customFormat="1" ht="41.4">
      <c r="A42" s="222" t="str">
        <f t="shared" si="12"/>
        <v>S</v>
      </c>
      <c r="B42" s="222">
        <f t="shared" si="13"/>
        <v>0</v>
      </c>
      <c r="C42" s="222">
        <f t="shared" ca="1" si="2"/>
        <v>5</v>
      </c>
      <c r="D42" s="222">
        <f t="shared" ca="1" si="3"/>
        <v>0</v>
      </c>
      <c r="E42" s="222">
        <f t="shared" ca="1" si="4"/>
        <v>0</v>
      </c>
      <c r="F42" s="222">
        <f t="shared" ca="1" si="5"/>
        <v>0</v>
      </c>
      <c r="G42" s="222">
        <f t="shared" ca="1" si="6"/>
        <v>2</v>
      </c>
      <c r="H42" s="222">
        <f t="shared" ca="1" si="7"/>
        <v>0</v>
      </c>
      <c r="I42" s="222">
        <f t="shared" ca="1" si="8"/>
        <v>0</v>
      </c>
      <c r="J42" s="222">
        <f t="shared" si="9"/>
        <v>1</v>
      </c>
      <c r="K42" s="269" t="s">
        <v>4</v>
      </c>
      <c r="L42" s="336" t="s">
        <v>85</v>
      </c>
      <c r="M42" s="325" t="s">
        <v>86</v>
      </c>
      <c r="N42" s="326" t="s">
        <v>43</v>
      </c>
      <c r="O42" s="327">
        <v>5.9999862456931838</v>
      </c>
      <c r="P42" s="328">
        <v>1454.09</v>
      </c>
      <c r="Q42" s="329">
        <f t="shared" si="14"/>
        <v>0</v>
      </c>
      <c r="R42" s="330">
        <f t="shared" si="20"/>
        <v>8724.52</v>
      </c>
      <c r="S42" s="331">
        <f t="shared" si="26"/>
        <v>0</v>
      </c>
      <c r="T42" s="337">
        <f t="shared" si="27"/>
        <v>6</v>
      </c>
      <c r="U42" s="332">
        <f t="shared" si="21"/>
        <v>6</v>
      </c>
      <c r="V42" s="338">
        <f>P42*S42</f>
        <v>0</v>
      </c>
      <c r="W42" s="339">
        <f>IF(O42-AC42&gt;0.01,AC42*P42,R42)</f>
        <v>8724.52</v>
      </c>
      <c r="X42" s="340">
        <f t="shared" si="23"/>
        <v>8724.52</v>
      </c>
      <c r="Y42" s="333"/>
      <c r="Z42" s="334"/>
      <c r="AA42" s="328"/>
      <c r="AB42" s="328"/>
      <c r="AC42" s="328">
        <v>6</v>
      </c>
      <c r="AD42" s="328"/>
      <c r="AE42" s="328"/>
      <c r="AF42" s="328"/>
      <c r="AG42" s="328"/>
      <c r="AH42" s="328"/>
      <c r="AI42" s="328"/>
      <c r="AJ42" s="328"/>
      <c r="AK42" s="335"/>
      <c r="AL42" s="334"/>
      <c r="AM42" s="328"/>
      <c r="AN42" s="328"/>
      <c r="AO42" s="328"/>
      <c r="AP42" s="328"/>
      <c r="AQ42" s="271"/>
      <c r="AR42" s="271"/>
      <c r="AS42" s="271"/>
      <c r="AT42" s="271"/>
      <c r="AU42" s="271"/>
      <c r="AV42" s="271"/>
      <c r="AW42" s="272"/>
      <c r="AX42" s="245"/>
      <c r="AY42" s="273">
        <v>0</v>
      </c>
      <c r="AZ42" s="274">
        <f t="shared" si="15"/>
        <v>0</v>
      </c>
      <c r="BA42" s="275">
        <v>0</v>
      </c>
      <c r="BB42" s="276" t="e">
        <f t="shared" si="10"/>
        <v>#REF!</v>
      </c>
      <c r="BC42" s="277" t="e">
        <f t="shared" si="16"/>
        <v>#REF!</v>
      </c>
      <c r="BD42" s="278" t="e">
        <f t="shared" si="11"/>
        <v>#REF!</v>
      </c>
      <c r="BF42" s="770" t="e">
        <f t="shared" si="17"/>
        <v>#REF!</v>
      </c>
      <c r="BG42" s="771"/>
      <c r="BH42" s="279" t="e">
        <f t="shared" si="18"/>
        <v>#REF!</v>
      </c>
      <c r="BI42" s="772" t="e">
        <f t="shared" si="19"/>
        <v>#REF!</v>
      </c>
      <c r="BJ42" s="773"/>
      <c r="BK42" s="774" t="e">
        <f>IF(BR42&gt;0,CHOOSE(MATCH(RegimeExecucao,{"Unitário","Global"},0),IF($A42="S",BR42/BN42,""),(BR42/BN42)*100),"")</f>
        <v>#REF!</v>
      </c>
      <c r="BL42" s="775"/>
      <c r="BM42" s="776"/>
      <c r="BN42" s="777" t="e">
        <f>IF(BR42&gt;0,CHOOSE(MATCH(RegimeExecucao,{"Unitário","Global"},0),IF($A42="S",ROUND(P42,arredunit),""),ROUND(R42,arredtot)),"")</f>
        <v>#REF!</v>
      </c>
      <c r="BO42" s="778"/>
      <c r="BP42" s="778"/>
      <c r="BQ42" s="779"/>
      <c r="BR42" s="777" t="e">
        <f t="shared" si="1"/>
        <v>#REF!</v>
      </c>
      <c r="BS42" s="778"/>
      <c r="BT42" s="778"/>
      <c r="BU42" s="779"/>
      <c r="BV42" s="780"/>
      <c r="BW42" s="780"/>
      <c r="BX42" s="780"/>
      <c r="BY42" s="780"/>
      <c r="BZ42" s="780"/>
      <c r="CA42" s="781"/>
      <c r="CB42" s="245"/>
      <c r="CC42" s="245"/>
    </row>
    <row r="43" spans="1:81" s="222" customFormat="1" ht="16.8" customHeight="1">
      <c r="A43" s="222" t="str">
        <f t="shared" si="12"/>
        <v>S</v>
      </c>
      <c r="B43" s="222">
        <f t="shared" si="13"/>
        <v>0</v>
      </c>
      <c r="C43" s="222">
        <f t="shared" ca="1" si="2"/>
        <v>5</v>
      </c>
      <c r="D43" s="222">
        <f t="shared" ca="1" si="3"/>
        <v>0</v>
      </c>
      <c r="E43" s="222">
        <f t="shared" ca="1" si="4"/>
        <v>0</v>
      </c>
      <c r="F43" s="222">
        <f t="shared" ca="1" si="5"/>
        <v>0</v>
      </c>
      <c r="G43" s="222">
        <f t="shared" ca="1" si="6"/>
        <v>3</v>
      </c>
      <c r="H43" s="222">
        <f t="shared" ca="1" si="7"/>
        <v>0</v>
      </c>
      <c r="I43" s="222">
        <f t="shared" ca="1" si="8"/>
        <v>0</v>
      </c>
      <c r="J43" s="222">
        <f t="shared" si="9"/>
        <v>1</v>
      </c>
      <c r="K43" s="269" t="s">
        <v>4</v>
      </c>
      <c r="L43" s="336" t="s">
        <v>87</v>
      </c>
      <c r="M43" s="325" t="s">
        <v>88</v>
      </c>
      <c r="N43" s="326" t="s">
        <v>43</v>
      </c>
      <c r="O43" s="327">
        <v>15.998805732484076</v>
      </c>
      <c r="P43" s="328">
        <v>25.12</v>
      </c>
      <c r="Q43" s="329">
        <f t="shared" si="14"/>
        <v>0</v>
      </c>
      <c r="R43" s="330">
        <f t="shared" si="20"/>
        <v>401.89</v>
      </c>
      <c r="S43" s="331">
        <f t="shared" si="26"/>
        <v>16</v>
      </c>
      <c r="T43" s="337">
        <f t="shared" si="27"/>
        <v>0</v>
      </c>
      <c r="U43" s="332">
        <f t="shared" si="21"/>
        <v>16</v>
      </c>
      <c r="V43" s="338">
        <f>P43*S43-0.03</f>
        <v>401.89000000000004</v>
      </c>
      <c r="W43" s="339">
        <f>IF(O43-AC43&gt;0.01,AC43*P43,R43)</f>
        <v>0</v>
      </c>
      <c r="X43" s="340">
        <f t="shared" si="23"/>
        <v>401.89000000000004</v>
      </c>
      <c r="Y43" s="333"/>
      <c r="Z43" s="334"/>
      <c r="AA43" s="328"/>
      <c r="AB43" s="328">
        <v>16</v>
      </c>
      <c r="AC43" s="328"/>
      <c r="AD43" s="328"/>
      <c r="AE43" s="328"/>
      <c r="AF43" s="328"/>
      <c r="AG43" s="328"/>
      <c r="AH43" s="328"/>
      <c r="AI43" s="328"/>
      <c r="AJ43" s="328"/>
      <c r="AK43" s="335"/>
      <c r="AL43" s="334"/>
      <c r="AM43" s="328"/>
      <c r="AN43" s="328"/>
      <c r="AO43" s="328"/>
      <c r="AP43" s="328"/>
      <c r="AQ43" s="271"/>
      <c r="AR43" s="271"/>
      <c r="AS43" s="271"/>
      <c r="AT43" s="271"/>
      <c r="AU43" s="271"/>
      <c r="AV43" s="271"/>
      <c r="AW43" s="272"/>
      <c r="AX43" s="245"/>
      <c r="AY43" s="273">
        <v>0</v>
      </c>
      <c r="AZ43" s="274">
        <f t="shared" si="15"/>
        <v>0</v>
      </c>
      <c r="BA43" s="275">
        <v>0</v>
      </c>
      <c r="BB43" s="276" t="e">
        <f t="shared" si="10"/>
        <v>#REF!</v>
      </c>
      <c r="BC43" s="277" t="e">
        <f t="shared" si="16"/>
        <v>#REF!</v>
      </c>
      <c r="BD43" s="278" t="e">
        <f t="shared" si="11"/>
        <v>#REF!</v>
      </c>
      <c r="BF43" s="770" t="e">
        <f t="shared" si="17"/>
        <v>#REF!</v>
      </c>
      <c r="BG43" s="771"/>
      <c r="BH43" s="279" t="e">
        <f t="shared" si="18"/>
        <v>#REF!</v>
      </c>
      <c r="BI43" s="772" t="e">
        <f t="shared" si="19"/>
        <v>#REF!</v>
      </c>
      <c r="BJ43" s="773"/>
      <c r="BK43" s="774" t="e">
        <f>IF(BR43&gt;0,CHOOSE(MATCH(RegimeExecucao,{"Unitário","Global"},0),IF($A43="S",BR43/BN43,""),(BR43/BN43)*100),"")</f>
        <v>#REF!</v>
      </c>
      <c r="BL43" s="775"/>
      <c r="BM43" s="776"/>
      <c r="BN43" s="777" t="e">
        <f>IF(BR43&gt;0,CHOOSE(MATCH(RegimeExecucao,{"Unitário","Global"},0),IF($A43="S",ROUND(P43,arredunit),""),ROUND(R43,arredtot)),"")</f>
        <v>#REF!</v>
      </c>
      <c r="BO43" s="778"/>
      <c r="BP43" s="778"/>
      <c r="BQ43" s="779"/>
      <c r="BR43" s="777" t="e">
        <f t="shared" si="1"/>
        <v>#REF!</v>
      </c>
      <c r="BS43" s="778"/>
      <c r="BT43" s="778"/>
      <c r="BU43" s="779"/>
      <c r="BV43" s="780"/>
      <c r="BW43" s="780"/>
      <c r="BX43" s="780"/>
      <c r="BY43" s="780"/>
      <c r="BZ43" s="780"/>
      <c r="CA43" s="781"/>
      <c r="CB43" s="245"/>
      <c r="CC43" s="245"/>
    </row>
    <row r="44" spans="1:81" s="222" customFormat="1" ht="33.6" customHeight="1">
      <c r="A44" s="222" t="str">
        <f t="shared" si="12"/>
        <v>S</v>
      </c>
      <c r="B44" s="222">
        <f t="shared" si="13"/>
        <v>0</v>
      </c>
      <c r="C44" s="222">
        <f t="shared" ca="1" si="2"/>
        <v>5</v>
      </c>
      <c r="D44" s="222">
        <f t="shared" ca="1" si="3"/>
        <v>0</v>
      </c>
      <c r="E44" s="222">
        <f t="shared" ca="1" si="4"/>
        <v>0</v>
      </c>
      <c r="F44" s="222">
        <f t="shared" ca="1" si="5"/>
        <v>0</v>
      </c>
      <c r="G44" s="222">
        <f t="shared" ca="1" si="6"/>
        <v>4</v>
      </c>
      <c r="H44" s="222">
        <f t="shared" ca="1" si="7"/>
        <v>0</v>
      </c>
      <c r="I44" s="222">
        <f t="shared" ca="1" si="8"/>
        <v>0</v>
      </c>
      <c r="J44" s="222">
        <f t="shared" si="9"/>
        <v>1</v>
      </c>
      <c r="K44" s="269" t="s">
        <v>4</v>
      </c>
      <c r="L44" s="336" t="s">
        <v>89</v>
      </c>
      <c r="M44" s="325" t="s">
        <v>90</v>
      </c>
      <c r="N44" s="326" t="s">
        <v>43</v>
      </c>
      <c r="O44" s="327">
        <v>2.1</v>
      </c>
      <c r="P44" s="328">
        <v>8.61</v>
      </c>
      <c r="Q44" s="329">
        <f t="shared" si="14"/>
        <v>0</v>
      </c>
      <c r="R44" s="330">
        <f t="shared" si="20"/>
        <v>18.081</v>
      </c>
      <c r="S44" s="331">
        <f t="shared" si="26"/>
        <v>2.1</v>
      </c>
      <c r="T44" s="337">
        <f t="shared" si="27"/>
        <v>0</v>
      </c>
      <c r="U44" s="332">
        <f t="shared" si="21"/>
        <v>2.1</v>
      </c>
      <c r="V44" s="338">
        <f>P44*S44</f>
        <v>18.081</v>
      </c>
      <c r="W44" s="339">
        <f>IF(O44-AC44&gt;0.01,AC44*P44,R44)</f>
        <v>0</v>
      </c>
      <c r="X44" s="340">
        <f t="shared" si="23"/>
        <v>18.081</v>
      </c>
      <c r="Y44" s="333"/>
      <c r="Z44" s="334"/>
      <c r="AA44" s="328">
        <v>2.1</v>
      </c>
      <c r="AB44" s="328"/>
      <c r="AC44" s="328"/>
      <c r="AD44" s="328"/>
      <c r="AE44" s="328"/>
      <c r="AF44" s="328"/>
      <c r="AG44" s="328"/>
      <c r="AH44" s="328"/>
      <c r="AI44" s="328"/>
      <c r="AJ44" s="328"/>
      <c r="AK44" s="335"/>
      <c r="AL44" s="334"/>
      <c r="AM44" s="328"/>
      <c r="AN44" s="328"/>
      <c r="AO44" s="328"/>
      <c r="AP44" s="328"/>
      <c r="AQ44" s="271"/>
      <c r="AR44" s="271"/>
      <c r="AS44" s="271"/>
      <c r="AT44" s="271"/>
      <c r="AU44" s="271"/>
      <c r="AV44" s="271"/>
      <c r="AW44" s="272"/>
      <c r="AX44" s="245"/>
      <c r="AY44" s="273">
        <v>0</v>
      </c>
      <c r="AZ44" s="274">
        <f t="shared" si="15"/>
        <v>0</v>
      </c>
      <c r="BA44" s="275">
        <v>0</v>
      </c>
      <c r="BB44" s="276" t="e">
        <f t="shared" si="10"/>
        <v>#REF!</v>
      </c>
      <c r="BC44" s="277" t="e">
        <f t="shared" si="16"/>
        <v>#REF!</v>
      </c>
      <c r="BD44" s="278" t="e">
        <f t="shared" si="11"/>
        <v>#REF!</v>
      </c>
      <c r="BF44" s="770" t="e">
        <f t="shared" si="17"/>
        <v>#REF!</v>
      </c>
      <c r="BG44" s="771"/>
      <c r="BH44" s="279" t="e">
        <f t="shared" si="18"/>
        <v>#REF!</v>
      </c>
      <c r="BI44" s="772" t="e">
        <f t="shared" si="19"/>
        <v>#REF!</v>
      </c>
      <c r="BJ44" s="773"/>
      <c r="BK44" s="774" t="e">
        <f>IF(BR44&gt;0,CHOOSE(MATCH(RegimeExecucao,{"Unitário","Global"},0),IF($A44="S",BR44/BN44,""),(BR44/BN44)*100),"")</f>
        <v>#REF!</v>
      </c>
      <c r="BL44" s="775"/>
      <c r="BM44" s="776"/>
      <c r="BN44" s="777" t="e">
        <f>IF(BR44&gt;0,CHOOSE(MATCH(RegimeExecucao,{"Unitário","Global"},0),IF($A44="S",ROUND(P44,arredunit),""),ROUND(R44,arredtot)),"")</f>
        <v>#REF!</v>
      </c>
      <c r="BO44" s="778"/>
      <c r="BP44" s="778"/>
      <c r="BQ44" s="779"/>
      <c r="BR44" s="777" t="e">
        <f t="shared" si="1"/>
        <v>#REF!</v>
      </c>
      <c r="BS44" s="778"/>
      <c r="BT44" s="778"/>
      <c r="BU44" s="779"/>
      <c r="BV44" s="780"/>
      <c r="BW44" s="780"/>
      <c r="BX44" s="780"/>
      <c r="BY44" s="780"/>
      <c r="BZ44" s="780"/>
      <c r="CA44" s="781"/>
      <c r="CB44" s="245"/>
      <c r="CC44" s="245"/>
    </row>
    <row r="45" spans="1:81" s="222" customFormat="1" ht="87" customHeight="1">
      <c r="A45" s="222" t="str">
        <f t="shared" si="12"/>
        <v>S</v>
      </c>
      <c r="B45" s="222">
        <f t="shared" si="13"/>
        <v>0</v>
      </c>
      <c r="C45" s="222">
        <f t="shared" ca="1" si="2"/>
        <v>5</v>
      </c>
      <c r="D45" s="222">
        <f t="shared" ca="1" si="3"/>
        <v>0</v>
      </c>
      <c r="E45" s="222">
        <f t="shared" ca="1" si="4"/>
        <v>0</v>
      </c>
      <c r="F45" s="222">
        <f t="shared" ca="1" si="5"/>
        <v>0</v>
      </c>
      <c r="G45" s="222">
        <f t="shared" ca="1" si="6"/>
        <v>5</v>
      </c>
      <c r="H45" s="222">
        <f t="shared" ca="1" si="7"/>
        <v>0</v>
      </c>
      <c r="I45" s="222">
        <f t="shared" ca="1" si="8"/>
        <v>0</v>
      </c>
      <c r="J45" s="222">
        <f t="shared" si="9"/>
        <v>1</v>
      </c>
      <c r="K45" s="269" t="s">
        <v>4</v>
      </c>
      <c r="L45" s="336" t="s">
        <v>91</v>
      </c>
      <c r="M45" s="325" t="s">
        <v>92</v>
      </c>
      <c r="N45" s="326" t="s">
        <v>93</v>
      </c>
      <c r="O45" s="327">
        <v>1</v>
      </c>
      <c r="P45" s="328">
        <v>865.73</v>
      </c>
      <c r="Q45" s="329">
        <f t="shared" si="14"/>
        <v>0</v>
      </c>
      <c r="R45" s="330">
        <f t="shared" si="20"/>
        <v>865.73</v>
      </c>
      <c r="S45" s="331">
        <f t="shared" si="26"/>
        <v>1</v>
      </c>
      <c r="T45" s="337">
        <f t="shared" si="27"/>
        <v>0</v>
      </c>
      <c r="U45" s="332">
        <f t="shared" si="21"/>
        <v>1</v>
      </c>
      <c r="V45" s="338">
        <f>P45*S45</f>
        <v>865.73</v>
      </c>
      <c r="W45" s="339">
        <f>IF(O45-AC45&gt;0.01,AC45*P45,R45)</f>
        <v>0</v>
      </c>
      <c r="X45" s="340">
        <f t="shared" si="23"/>
        <v>865.73</v>
      </c>
      <c r="Y45" s="333"/>
      <c r="Z45" s="334"/>
      <c r="AA45" s="328">
        <v>1</v>
      </c>
      <c r="AB45" s="328"/>
      <c r="AC45" s="328"/>
      <c r="AD45" s="328"/>
      <c r="AE45" s="328"/>
      <c r="AF45" s="328"/>
      <c r="AG45" s="328"/>
      <c r="AH45" s="328"/>
      <c r="AI45" s="328"/>
      <c r="AJ45" s="328"/>
      <c r="AK45" s="335"/>
      <c r="AL45" s="334"/>
      <c r="AM45" s="328"/>
      <c r="AN45" s="328"/>
      <c r="AO45" s="328"/>
      <c r="AP45" s="328"/>
      <c r="AQ45" s="271"/>
      <c r="AR45" s="271"/>
      <c r="AS45" s="271"/>
      <c r="AT45" s="271"/>
      <c r="AU45" s="271"/>
      <c r="AV45" s="271"/>
      <c r="AW45" s="272"/>
      <c r="AX45" s="245"/>
      <c r="AY45" s="273">
        <v>0</v>
      </c>
      <c r="AZ45" s="274">
        <f t="shared" si="15"/>
        <v>0</v>
      </c>
      <c r="BA45" s="275">
        <v>0</v>
      </c>
      <c r="BB45" s="276" t="e">
        <f t="shared" si="10"/>
        <v>#REF!</v>
      </c>
      <c r="BC45" s="277" t="e">
        <f t="shared" si="16"/>
        <v>#REF!</v>
      </c>
      <c r="BD45" s="278" t="e">
        <f t="shared" si="11"/>
        <v>#REF!</v>
      </c>
      <c r="BF45" s="770" t="e">
        <f t="shared" si="17"/>
        <v>#REF!</v>
      </c>
      <c r="BG45" s="771"/>
      <c r="BH45" s="279" t="e">
        <f t="shared" si="18"/>
        <v>#REF!</v>
      </c>
      <c r="BI45" s="772" t="e">
        <f t="shared" si="19"/>
        <v>#REF!</v>
      </c>
      <c r="BJ45" s="773"/>
      <c r="BK45" s="774" t="e">
        <f>IF(BR45&gt;0,CHOOSE(MATCH(RegimeExecucao,{"Unitário","Global"},0),IF($A45="S",BR45/BN45,""),(BR45/BN45)*100),"")</f>
        <v>#REF!</v>
      </c>
      <c r="BL45" s="775"/>
      <c r="BM45" s="776"/>
      <c r="BN45" s="777" t="e">
        <f>IF(BR45&gt;0,CHOOSE(MATCH(RegimeExecucao,{"Unitário","Global"},0),IF($A45="S",ROUND(P45,arredunit),""),ROUND(R45,arredtot)),"")</f>
        <v>#REF!</v>
      </c>
      <c r="BO45" s="778"/>
      <c r="BP45" s="778"/>
      <c r="BQ45" s="779"/>
      <c r="BR45" s="777" t="e">
        <f t="shared" si="1"/>
        <v>#REF!</v>
      </c>
      <c r="BS45" s="778"/>
      <c r="BT45" s="778"/>
      <c r="BU45" s="779"/>
      <c r="BV45" s="780"/>
      <c r="BW45" s="780"/>
      <c r="BX45" s="780"/>
      <c r="BY45" s="780"/>
      <c r="BZ45" s="780"/>
      <c r="CA45" s="781"/>
      <c r="CB45" s="245"/>
      <c r="CC45" s="245"/>
    </row>
    <row r="46" spans="1:81" s="222" customFormat="1" ht="13.8">
      <c r="A46" s="222">
        <f t="shared" si="12"/>
        <v>1</v>
      </c>
      <c r="B46" s="222">
        <f t="shared" ca="1" si="13"/>
        <v>4</v>
      </c>
      <c r="C46" s="222">
        <f t="shared" ca="1" si="2"/>
        <v>6</v>
      </c>
      <c r="D46" s="222">
        <f t="shared" ca="1" si="3"/>
        <v>0</v>
      </c>
      <c r="E46" s="222">
        <f t="shared" ca="1" si="4"/>
        <v>0</v>
      </c>
      <c r="F46" s="222">
        <f t="shared" ca="1" si="5"/>
        <v>0</v>
      </c>
      <c r="G46" s="222">
        <f t="shared" ca="1" si="6"/>
        <v>0</v>
      </c>
      <c r="H46" s="222">
        <f t="shared" ca="1" si="7"/>
        <v>50</v>
      </c>
      <c r="I46" s="222">
        <f t="shared" ca="1" si="8"/>
        <v>4</v>
      </c>
      <c r="J46" s="222">
        <f t="shared" si="9"/>
        <v>0</v>
      </c>
      <c r="K46" s="269" t="str">
        <f>CHOOSE(1+LOG(1+2*($J46=3)+4*($J46=2)+8*($J46=1)+16*(AND($L46&lt;&gt;"",$L46&lt;&gt;0,$J46=0))+32*OR($N46&lt;&gt;"",RegimeExecucao="Global",AND($L46="",$M46="",$N46="")),2),"","Nível 4","Nível 3","Nível 2","Meta","Serviço")</f>
        <v>Meta</v>
      </c>
      <c r="L46" s="324">
        <v>6</v>
      </c>
      <c r="M46" s="325" t="s">
        <v>94</v>
      </c>
      <c r="N46" s="326"/>
      <c r="O46" s="327"/>
      <c r="P46" s="328"/>
      <c r="Q46" s="329">
        <f t="shared" si="14"/>
        <v>1464.84</v>
      </c>
      <c r="R46" s="330">
        <f>SUM(R47:R49)</f>
        <v>1464.84</v>
      </c>
      <c r="S46" s="331">
        <f>Z46+AA46</f>
        <v>0</v>
      </c>
      <c r="T46" s="337">
        <f>AB46</f>
        <v>0</v>
      </c>
      <c r="U46" s="332">
        <f t="shared" si="21"/>
        <v>0</v>
      </c>
      <c r="V46" s="338">
        <f>SUM(V47:V49)</f>
        <v>1464.8440000000001</v>
      </c>
      <c r="W46" s="339">
        <f>SUM(W47:W49)</f>
        <v>0</v>
      </c>
      <c r="X46" s="340">
        <f t="shared" si="23"/>
        <v>1464.8440000000001</v>
      </c>
      <c r="Y46" s="333"/>
      <c r="Z46" s="334"/>
      <c r="AA46" s="328"/>
      <c r="AB46" s="328"/>
      <c r="AC46" s="328"/>
      <c r="AD46" s="328"/>
      <c r="AE46" s="328"/>
      <c r="AF46" s="328"/>
      <c r="AG46" s="328"/>
      <c r="AH46" s="328"/>
      <c r="AI46" s="328"/>
      <c r="AJ46" s="328"/>
      <c r="AK46" s="335"/>
      <c r="AL46" s="334"/>
      <c r="AM46" s="328"/>
      <c r="AN46" s="328"/>
      <c r="AO46" s="328"/>
      <c r="AP46" s="328"/>
      <c r="AQ46" s="271"/>
      <c r="AR46" s="271"/>
      <c r="AS46" s="271"/>
      <c r="AT46" s="271"/>
      <c r="AU46" s="271"/>
      <c r="AV46" s="271"/>
      <c r="AW46" s="272"/>
      <c r="AX46" s="245"/>
      <c r="AY46" s="273">
        <v>0</v>
      </c>
      <c r="AZ46" s="274">
        <f t="shared" si="15"/>
        <v>0</v>
      </c>
      <c r="BA46" s="275">
        <v>0</v>
      </c>
      <c r="BB46" s="276" t="e">
        <f t="shared" ca="1" si="10"/>
        <v>#REF!</v>
      </c>
      <c r="BC46" s="277" t="e">
        <f t="shared" ca="1" si="16"/>
        <v>#REF!</v>
      </c>
      <c r="BD46" s="278" t="e">
        <f t="shared" ca="1" si="11"/>
        <v>#REF!</v>
      </c>
      <c r="BF46" s="770" t="e">
        <f t="shared" ca="1" si="17"/>
        <v>#REF!</v>
      </c>
      <c r="BG46" s="771"/>
      <c r="BH46" s="279" t="e">
        <f t="shared" ca="1" si="18"/>
        <v>#REF!</v>
      </c>
      <c r="BI46" s="772" t="e">
        <f t="shared" ca="1" si="19"/>
        <v>#REF!</v>
      </c>
      <c r="BJ46" s="773"/>
      <c r="BK46" s="774" t="e">
        <f ca="1">IF(BR46&gt;0,CHOOSE(MATCH(RegimeExecucao,{"Unitário","Global"},0),IF($A46="S",BR46/BN46,""),(BR46/BN46)*100),"")</f>
        <v>#REF!</v>
      </c>
      <c r="BL46" s="775"/>
      <c r="BM46" s="776"/>
      <c r="BN46" s="777" t="e">
        <f ca="1">IF(BR46&gt;0,CHOOSE(MATCH(RegimeExecucao,{"Unitário","Global"},0),IF($A46="S",ROUND(P46,arredunit),""),ROUND(R46,arredtot)),"")</f>
        <v>#REF!</v>
      </c>
      <c r="BO46" s="778"/>
      <c r="BP46" s="778"/>
      <c r="BQ46" s="779"/>
      <c r="BR46" s="777" t="e">
        <f t="shared" ca="1" si="1"/>
        <v>#REF!</v>
      </c>
      <c r="BS46" s="778"/>
      <c r="BT46" s="778"/>
      <c r="BU46" s="779"/>
      <c r="BV46" s="780"/>
      <c r="BW46" s="780"/>
      <c r="BX46" s="780"/>
      <c r="BY46" s="780"/>
      <c r="BZ46" s="780"/>
      <c r="CA46" s="781"/>
      <c r="CB46" s="245"/>
      <c r="CC46" s="245"/>
    </row>
    <row r="47" spans="1:81" s="222" customFormat="1" ht="27.6">
      <c r="A47" s="222" t="str">
        <f t="shared" si="12"/>
        <v>S</v>
      </c>
      <c r="B47" s="222">
        <f t="shared" si="13"/>
        <v>0</v>
      </c>
      <c r="C47" s="222">
        <f t="shared" ca="1" si="2"/>
        <v>6</v>
      </c>
      <c r="D47" s="222">
        <f t="shared" ca="1" si="3"/>
        <v>0</v>
      </c>
      <c r="E47" s="222">
        <f t="shared" ca="1" si="4"/>
        <v>0</v>
      </c>
      <c r="F47" s="222">
        <f t="shared" ca="1" si="5"/>
        <v>0</v>
      </c>
      <c r="G47" s="222">
        <f t="shared" ca="1" si="6"/>
        <v>1</v>
      </c>
      <c r="H47" s="222">
        <f t="shared" ca="1" si="7"/>
        <v>0</v>
      </c>
      <c r="I47" s="222">
        <f t="shared" ca="1" si="8"/>
        <v>0</v>
      </c>
      <c r="J47" s="222">
        <f t="shared" si="9"/>
        <v>1</v>
      </c>
      <c r="K47" s="269" t="s">
        <v>4</v>
      </c>
      <c r="L47" s="336" t="s">
        <v>95</v>
      </c>
      <c r="M47" s="325" t="s">
        <v>96</v>
      </c>
      <c r="N47" s="326" t="s">
        <v>43</v>
      </c>
      <c r="O47" s="327">
        <v>9.3027888446215155</v>
      </c>
      <c r="P47" s="328">
        <v>10.039999999999999</v>
      </c>
      <c r="Q47" s="329">
        <f t="shared" si="14"/>
        <v>0</v>
      </c>
      <c r="R47" s="330">
        <f t="shared" si="20"/>
        <v>93.4</v>
      </c>
      <c r="S47" s="331">
        <f t="shared" si="26"/>
        <v>9.3000000000000007</v>
      </c>
      <c r="T47" s="337">
        <f t="shared" si="27"/>
        <v>0</v>
      </c>
      <c r="U47" s="332">
        <f t="shared" si="21"/>
        <v>9.3000000000000007</v>
      </c>
      <c r="V47" s="338">
        <f>P47*S47+0.03</f>
        <v>93.402000000000001</v>
      </c>
      <c r="W47" s="339">
        <f t="shared" si="22"/>
        <v>0</v>
      </c>
      <c r="X47" s="340">
        <f t="shared" si="23"/>
        <v>93.402000000000001</v>
      </c>
      <c r="Y47" s="333"/>
      <c r="Z47" s="334">
        <v>9.3000000000000007</v>
      </c>
      <c r="AA47" s="328"/>
      <c r="AB47" s="328"/>
      <c r="AC47" s="328"/>
      <c r="AD47" s="328"/>
      <c r="AE47" s="328"/>
      <c r="AF47" s="328"/>
      <c r="AG47" s="328"/>
      <c r="AH47" s="328"/>
      <c r="AI47" s="328"/>
      <c r="AJ47" s="328"/>
      <c r="AK47" s="335"/>
      <c r="AL47" s="334"/>
      <c r="AM47" s="328"/>
      <c r="AN47" s="328"/>
      <c r="AO47" s="328"/>
      <c r="AP47" s="328"/>
      <c r="AQ47" s="271"/>
      <c r="AR47" s="271"/>
      <c r="AS47" s="271"/>
      <c r="AT47" s="271"/>
      <c r="AU47" s="271"/>
      <c r="AV47" s="271"/>
      <c r="AW47" s="272"/>
      <c r="AX47" s="245"/>
      <c r="AY47" s="273">
        <v>0</v>
      </c>
      <c r="AZ47" s="274">
        <f t="shared" si="15"/>
        <v>0</v>
      </c>
      <c r="BA47" s="275">
        <v>0</v>
      </c>
      <c r="BB47" s="276" t="e">
        <f t="shared" si="10"/>
        <v>#REF!</v>
      </c>
      <c r="BC47" s="277" t="e">
        <f t="shared" si="16"/>
        <v>#REF!</v>
      </c>
      <c r="BD47" s="278" t="e">
        <f t="shared" si="11"/>
        <v>#REF!</v>
      </c>
      <c r="BF47" s="770" t="e">
        <f t="shared" si="17"/>
        <v>#REF!</v>
      </c>
      <c r="BG47" s="771"/>
      <c r="BH47" s="279" t="e">
        <f t="shared" si="18"/>
        <v>#REF!</v>
      </c>
      <c r="BI47" s="772" t="e">
        <f t="shared" si="19"/>
        <v>#REF!</v>
      </c>
      <c r="BJ47" s="773"/>
      <c r="BK47" s="774" t="e">
        <f>IF(BR47&gt;0,CHOOSE(MATCH(RegimeExecucao,{"Unitário","Global"},0),IF($A47="S",BR47/BN47,""),(BR47/BN47)*100),"")</f>
        <v>#REF!</v>
      </c>
      <c r="BL47" s="775"/>
      <c r="BM47" s="776"/>
      <c r="BN47" s="777" t="e">
        <f>IF(BR47&gt;0,CHOOSE(MATCH(RegimeExecucao,{"Unitário","Global"},0),IF($A47="S",ROUND(P47,arredunit),""),ROUND(R47,arredtot)),"")</f>
        <v>#REF!</v>
      </c>
      <c r="BO47" s="778"/>
      <c r="BP47" s="778"/>
      <c r="BQ47" s="779"/>
      <c r="BR47" s="777" t="e">
        <f t="shared" si="1"/>
        <v>#REF!</v>
      </c>
      <c r="BS47" s="778"/>
      <c r="BT47" s="778"/>
      <c r="BU47" s="779"/>
      <c r="BV47" s="780"/>
      <c r="BW47" s="780"/>
      <c r="BX47" s="780"/>
      <c r="BY47" s="780"/>
      <c r="BZ47" s="780"/>
      <c r="CA47" s="781"/>
      <c r="CB47" s="245"/>
      <c r="CC47" s="245"/>
    </row>
    <row r="48" spans="1:81" s="222" customFormat="1" ht="41.4">
      <c r="A48" s="222" t="str">
        <f t="shared" si="12"/>
        <v>S</v>
      </c>
      <c r="B48" s="222">
        <f t="shared" si="13"/>
        <v>0</v>
      </c>
      <c r="C48" s="222">
        <f t="shared" ca="1" si="2"/>
        <v>6</v>
      </c>
      <c r="D48" s="222">
        <f t="shared" ca="1" si="3"/>
        <v>0</v>
      </c>
      <c r="E48" s="222">
        <f t="shared" ca="1" si="4"/>
        <v>0</v>
      </c>
      <c r="F48" s="222">
        <f t="shared" ca="1" si="5"/>
        <v>0</v>
      </c>
      <c r="G48" s="222">
        <f t="shared" ca="1" si="6"/>
        <v>2</v>
      </c>
      <c r="H48" s="222">
        <f t="shared" ca="1" si="7"/>
        <v>0</v>
      </c>
      <c r="I48" s="222">
        <f t="shared" ca="1" si="8"/>
        <v>0</v>
      </c>
      <c r="J48" s="222">
        <f t="shared" si="9"/>
        <v>1</v>
      </c>
      <c r="K48" s="269" t="s">
        <v>4</v>
      </c>
      <c r="L48" s="336" t="s">
        <v>97</v>
      </c>
      <c r="M48" s="325" t="s">
        <v>98</v>
      </c>
      <c r="N48" s="326" t="s">
        <v>43</v>
      </c>
      <c r="O48" s="327">
        <v>9.2996483435128621</v>
      </c>
      <c r="P48" s="328">
        <v>108.06</v>
      </c>
      <c r="Q48" s="329">
        <f t="shared" si="14"/>
        <v>0</v>
      </c>
      <c r="R48" s="330">
        <f t="shared" si="20"/>
        <v>1004.9199999999998</v>
      </c>
      <c r="S48" s="331">
        <f t="shared" si="26"/>
        <v>9.3000000000000007</v>
      </c>
      <c r="T48" s="337">
        <f t="shared" si="27"/>
        <v>0</v>
      </c>
      <c r="U48" s="332">
        <f t="shared" si="21"/>
        <v>9.3000000000000007</v>
      </c>
      <c r="V48" s="338">
        <f>P48*S48-0.04</f>
        <v>1004.9180000000001</v>
      </c>
      <c r="W48" s="339">
        <f t="shared" si="22"/>
        <v>0</v>
      </c>
      <c r="X48" s="340">
        <f t="shared" si="23"/>
        <v>1004.9180000000001</v>
      </c>
      <c r="Y48" s="333"/>
      <c r="Z48" s="334">
        <v>9.3000000000000007</v>
      </c>
      <c r="AA48" s="328"/>
      <c r="AB48" s="328"/>
      <c r="AC48" s="328"/>
      <c r="AD48" s="328"/>
      <c r="AE48" s="328"/>
      <c r="AF48" s="328"/>
      <c r="AG48" s="328"/>
      <c r="AH48" s="328"/>
      <c r="AI48" s="328"/>
      <c r="AJ48" s="328"/>
      <c r="AK48" s="335"/>
      <c r="AL48" s="334"/>
      <c r="AM48" s="328"/>
      <c r="AN48" s="328"/>
      <c r="AO48" s="328"/>
      <c r="AP48" s="328"/>
      <c r="AQ48" s="271"/>
      <c r="AR48" s="271"/>
      <c r="AS48" s="271"/>
      <c r="AT48" s="271"/>
      <c r="AU48" s="271"/>
      <c r="AV48" s="271"/>
      <c r="AW48" s="272"/>
      <c r="AX48" s="245"/>
      <c r="AY48" s="273">
        <v>0</v>
      </c>
      <c r="AZ48" s="274">
        <f t="shared" si="15"/>
        <v>0</v>
      </c>
      <c r="BA48" s="275">
        <v>0</v>
      </c>
      <c r="BB48" s="276" t="e">
        <f t="shared" si="10"/>
        <v>#REF!</v>
      </c>
      <c r="BC48" s="277" t="e">
        <f t="shared" si="16"/>
        <v>#REF!</v>
      </c>
      <c r="BD48" s="278" t="e">
        <f t="shared" si="11"/>
        <v>#REF!</v>
      </c>
      <c r="BF48" s="770" t="e">
        <f t="shared" si="17"/>
        <v>#REF!</v>
      </c>
      <c r="BG48" s="771"/>
      <c r="BH48" s="279" t="e">
        <f t="shared" si="18"/>
        <v>#REF!</v>
      </c>
      <c r="BI48" s="772" t="e">
        <f t="shared" si="19"/>
        <v>#REF!</v>
      </c>
      <c r="BJ48" s="773"/>
      <c r="BK48" s="774" t="e">
        <f>IF(BR48&gt;0,CHOOSE(MATCH(RegimeExecucao,{"Unitário","Global"},0),IF($A48="S",BR48/BN48,""),(BR48/BN48)*100),"")</f>
        <v>#REF!</v>
      </c>
      <c r="BL48" s="775"/>
      <c r="BM48" s="776"/>
      <c r="BN48" s="777" t="e">
        <f>IF(BR48&gt;0,CHOOSE(MATCH(RegimeExecucao,{"Unitário","Global"},0),IF($A48="S",ROUND(P48,arredunit),""),ROUND(R48,arredtot)),"")</f>
        <v>#REF!</v>
      </c>
      <c r="BO48" s="778"/>
      <c r="BP48" s="778"/>
      <c r="BQ48" s="779"/>
      <c r="BR48" s="777" t="e">
        <f t="shared" si="1"/>
        <v>#REF!</v>
      </c>
      <c r="BS48" s="778"/>
      <c r="BT48" s="778"/>
      <c r="BU48" s="779"/>
      <c r="BV48" s="780"/>
      <c r="BW48" s="780"/>
      <c r="BX48" s="780"/>
      <c r="BY48" s="780"/>
      <c r="BZ48" s="780"/>
      <c r="CA48" s="781"/>
      <c r="CB48" s="245"/>
      <c r="CC48" s="245"/>
    </row>
    <row r="49" spans="1:81" s="222" customFormat="1" ht="27.6">
      <c r="A49" s="222" t="str">
        <f t="shared" si="12"/>
        <v>S</v>
      </c>
      <c r="B49" s="222">
        <f t="shared" si="13"/>
        <v>0</v>
      </c>
      <c r="C49" s="222">
        <f t="shared" ca="1" si="2"/>
        <v>6</v>
      </c>
      <c r="D49" s="222">
        <f t="shared" ca="1" si="3"/>
        <v>0</v>
      </c>
      <c r="E49" s="222">
        <f t="shared" ca="1" si="4"/>
        <v>0</v>
      </c>
      <c r="F49" s="222">
        <f t="shared" ca="1" si="5"/>
        <v>0</v>
      </c>
      <c r="G49" s="222">
        <f t="shared" ca="1" si="6"/>
        <v>3</v>
      </c>
      <c r="H49" s="222">
        <f t="shared" ca="1" si="7"/>
        <v>0</v>
      </c>
      <c r="I49" s="222">
        <f t="shared" ca="1" si="8"/>
        <v>0</v>
      </c>
      <c r="J49" s="222">
        <f t="shared" si="9"/>
        <v>1</v>
      </c>
      <c r="K49" s="269" t="s">
        <v>4</v>
      </c>
      <c r="L49" s="336" t="s">
        <v>99</v>
      </c>
      <c r="M49" s="325" t="s">
        <v>100</v>
      </c>
      <c r="N49" s="326" t="s">
        <v>59</v>
      </c>
      <c r="O49" s="327">
        <v>12.399188092016239</v>
      </c>
      <c r="P49" s="328">
        <v>29.56</v>
      </c>
      <c r="Q49" s="329">
        <f t="shared" si="14"/>
        <v>0</v>
      </c>
      <c r="R49" s="330">
        <f t="shared" si="20"/>
        <v>366.52</v>
      </c>
      <c r="S49" s="331">
        <f t="shared" si="26"/>
        <v>12.4</v>
      </c>
      <c r="T49" s="337">
        <f t="shared" si="27"/>
        <v>0</v>
      </c>
      <c r="U49" s="332">
        <f t="shared" si="21"/>
        <v>12.4</v>
      </c>
      <c r="V49" s="338">
        <f>P49*S49-0.02</f>
        <v>366.524</v>
      </c>
      <c r="W49" s="339">
        <f t="shared" si="22"/>
        <v>0</v>
      </c>
      <c r="X49" s="340">
        <f t="shared" si="23"/>
        <v>366.524</v>
      </c>
      <c r="Y49" s="333"/>
      <c r="Z49" s="334">
        <v>12.4</v>
      </c>
      <c r="AA49" s="328"/>
      <c r="AB49" s="328"/>
      <c r="AC49" s="328"/>
      <c r="AD49" s="328"/>
      <c r="AE49" s="328"/>
      <c r="AF49" s="328"/>
      <c r="AG49" s="328"/>
      <c r="AH49" s="328"/>
      <c r="AI49" s="328"/>
      <c r="AJ49" s="328"/>
      <c r="AK49" s="335"/>
      <c r="AL49" s="334"/>
      <c r="AM49" s="328"/>
      <c r="AN49" s="328"/>
      <c r="AO49" s="328"/>
      <c r="AP49" s="328"/>
      <c r="AQ49" s="271"/>
      <c r="AR49" s="271"/>
      <c r="AS49" s="271"/>
      <c r="AT49" s="271"/>
      <c r="AU49" s="271"/>
      <c r="AV49" s="271"/>
      <c r="AW49" s="272"/>
      <c r="AX49" s="245"/>
      <c r="AY49" s="273">
        <v>0</v>
      </c>
      <c r="AZ49" s="274">
        <f t="shared" si="15"/>
        <v>0</v>
      </c>
      <c r="BA49" s="275">
        <v>0</v>
      </c>
      <c r="BB49" s="276" t="e">
        <f t="shared" si="10"/>
        <v>#REF!</v>
      </c>
      <c r="BC49" s="277" t="e">
        <f t="shared" si="16"/>
        <v>#REF!</v>
      </c>
      <c r="BD49" s="278" t="e">
        <f t="shared" si="11"/>
        <v>#REF!</v>
      </c>
      <c r="BF49" s="770" t="e">
        <f t="shared" si="17"/>
        <v>#REF!</v>
      </c>
      <c r="BG49" s="771"/>
      <c r="BH49" s="279" t="e">
        <f t="shared" si="18"/>
        <v>#REF!</v>
      </c>
      <c r="BI49" s="772" t="e">
        <f t="shared" si="19"/>
        <v>#REF!</v>
      </c>
      <c r="BJ49" s="773"/>
      <c r="BK49" s="774" t="e">
        <f>IF(BR49&gt;0,CHOOSE(MATCH(RegimeExecucao,{"Unitário","Global"},0),IF($A49="S",BR49/BN49,""),(BR49/BN49)*100),"")</f>
        <v>#REF!</v>
      </c>
      <c r="BL49" s="775"/>
      <c r="BM49" s="776"/>
      <c r="BN49" s="777" t="e">
        <f>IF(BR49&gt;0,CHOOSE(MATCH(RegimeExecucao,{"Unitário","Global"},0),IF($A49="S",ROUND(P49,arredunit),""),ROUND(R49,arredtot)),"")</f>
        <v>#REF!</v>
      </c>
      <c r="BO49" s="778"/>
      <c r="BP49" s="778"/>
      <c r="BQ49" s="779"/>
      <c r="BR49" s="777" t="e">
        <f t="shared" si="1"/>
        <v>#REF!</v>
      </c>
      <c r="BS49" s="778"/>
      <c r="BT49" s="778"/>
      <c r="BU49" s="779"/>
      <c r="BV49" s="780"/>
      <c r="BW49" s="780"/>
      <c r="BX49" s="780"/>
      <c r="BY49" s="780"/>
      <c r="BZ49" s="780"/>
      <c r="CA49" s="781"/>
      <c r="CB49" s="245"/>
      <c r="CC49" s="245"/>
    </row>
    <row r="50" spans="1:81" s="222" customFormat="1" ht="13.8">
      <c r="A50" s="222">
        <f t="shared" si="12"/>
        <v>1</v>
      </c>
      <c r="B50" s="222">
        <f t="shared" ca="1" si="13"/>
        <v>8</v>
      </c>
      <c r="C50" s="222">
        <f t="shared" ca="1" si="2"/>
        <v>7</v>
      </c>
      <c r="D50" s="222">
        <f t="shared" ca="1" si="3"/>
        <v>0</v>
      </c>
      <c r="E50" s="222">
        <f t="shared" ca="1" si="4"/>
        <v>0</v>
      </c>
      <c r="F50" s="222">
        <f t="shared" ca="1" si="5"/>
        <v>0</v>
      </c>
      <c r="G50" s="222">
        <f t="shared" ca="1" si="6"/>
        <v>0</v>
      </c>
      <c r="H50" s="222">
        <f t="shared" ca="1" si="7"/>
        <v>46</v>
      </c>
      <c r="I50" s="222">
        <f t="shared" ca="1" si="8"/>
        <v>8</v>
      </c>
      <c r="J50" s="222">
        <f t="shared" si="9"/>
        <v>0</v>
      </c>
      <c r="K50" s="269" t="str">
        <f>CHOOSE(1+LOG(1+2*($J50=3)+4*($J50=2)+8*($J50=1)+16*(AND($L50&lt;&gt;"",$L50&lt;&gt;0,$J50=0))+32*OR($N50&lt;&gt;"",RegimeExecucao="Global",AND($L50="",$M50="",$N50="")),2),"","Nível 4","Nível 3","Nível 2","Meta","Serviço")</f>
        <v>Meta</v>
      </c>
      <c r="L50" s="324">
        <v>7</v>
      </c>
      <c r="M50" s="325" t="s">
        <v>101</v>
      </c>
      <c r="N50" s="326"/>
      <c r="O50" s="327"/>
      <c r="P50" s="328"/>
      <c r="Q50" s="329">
        <f t="shared" si="14"/>
        <v>5837.2699999999995</v>
      </c>
      <c r="R50" s="330">
        <f>R51</f>
        <v>5837.2699999999995</v>
      </c>
      <c r="S50" s="331">
        <f>Z50+AA50</f>
        <v>0</v>
      </c>
      <c r="T50" s="337">
        <f>AB50</f>
        <v>0</v>
      </c>
      <c r="U50" s="332">
        <f t="shared" si="21"/>
        <v>0</v>
      </c>
      <c r="V50" s="338">
        <f>V51</f>
        <v>1864.1399999999999</v>
      </c>
      <c r="W50" s="339">
        <f>W51</f>
        <v>0</v>
      </c>
      <c r="X50" s="340">
        <f t="shared" si="23"/>
        <v>1864.1399999999999</v>
      </c>
      <c r="Y50" s="333"/>
      <c r="Z50" s="334"/>
      <c r="AA50" s="328"/>
      <c r="AB50" s="328"/>
      <c r="AC50" s="328"/>
      <c r="AD50" s="328"/>
      <c r="AE50" s="328"/>
      <c r="AF50" s="328"/>
      <c r="AG50" s="328"/>
      <c r="AH50" s="328"/>
      <c r="AI50" s="328"/>
      <c r="AJ50" s="328"/>
      <c r="AK50" s="335"/>
      <c r="AL50" s="334"/>
      <c r="AM50" s="328"/>
      <c r="AN50" s="328"/>
      <c r="AO50" s="328"/>
      <c r="AP50" s="328"/>
      <c r="AQ50" s="271"/>
      <c r="AR50" s="271"/>
      <c r="AS50" s="271"/>
      <c r="AT50" s="271"/>
      <c r="AU50" s="271"/>
      <c r="AV50" s="271"/>
      <c r="AW50" s="272"/>
      <c r="AX50" s="245"/>
      <c r="AY50" s="273">
        <v>0</v>
      </c>
      <c r="AZ50" s="274">
        <f t="shared" si="15"/>
        <v>0</v>
      </c>
      <c r="BA50" s="275">
        <v>0</v>
      </c>
      <c r="BB50" s="276" t="e">
        <f t="shared" ca="1" si="10"/>
        <v>#REF!</v>
      </c>
      <c r="BC50" s="277" t="e">
        <f t="shared" ca="1" si="16"/>
        <v>#REF!</v>
      </c>
      <c r="BD50" s="278" t="e">
        <f t="shared" ca="1" si="11"/>
        <v>#REF!</v>
      </c>
      <c r="BF50" s="770" t="e">
        <f t="shared" ca="1" si="17"/>
        <v>#REF!</v>
      </c>
      <c r="BG50" s="771"/>
      <c r="BH50" s="279" t="e">
        <f t="shared" ca="1" si="18"/>
        <v>#REF!</v>
      </c>
      <c r="BI50" s="772" t="e">
        <f t="shared" ca="1" si="19"/>
        <v>#REF!</v>
      </c>
      <c r="BJ50" s="773"/>
      <c r="BK50" s="774" t="e">
        <f ca="1">IF(BR50&gt;0,CHOOSE(MATCH(RegimeExecucao,{"Unitário","Global"},0),IF($A50="S",BR50/BN50,""),(BR50/BN50)*100),"")</f>
        <v>#REF!</v>
      </c>
      <c r="BL50" s="775"/>
      <c r="BM50" s="776"/>
      <c r="BN50" s="777" t="e">
        <f ca="1">IF(BR50&gt;0,CHOOSE(MATCH(RegimeExecucao,{"Unitário","Global"},0),IF($A50="S",ROUND(P50,arredunit),""),ROUND(R50,arredtot)),"")</f>
        <v>#REF!</v>
      </c>
      <c r="BO50" s="778"/>
      <c r="BP50" s="778"/>
      <c r="BQ50" s="779"/>
      <c r="BR50" s="777" t="e">
        <f t="shared" ca="1" si="1"/>
        <v>#REF!</v>
      </c>
      <c r="BS50" s="778"/>
      <c r="BT50" s="778"/>
      <c r="BU50" s="779"/>
      <c r="BV50" s="780"/>
      <c r="BW50" s="780"/>
      <c r="BX50" s="780"/>
      <c r="BY50" s="780"/>
      <c r="BZ50" s="780"/>
      <c r="CA50" s="781"/>
      <c r="CB50" s="245"/>
      <c r="CC50" s="245"/>
    </row>
    <row r="51" spans="1:81" s="222" customFormat="1" ht="13.8">
      <c r="A51" s="222">
        <f t="shared" si="12"/>
        <v>2</v>
      </c>
      <c r="B51" s="222">
        <f t="shared" ca="1" si="13"/>
        <v>7</v>
      </c>
      <c r="C51" s="222">
        <f t="shared" ca="1" si="2"/>
        <v>7</v>
      </c>
      <c r="D51" s="222">
        <f t="shared" ca="1" si="3"/>
        <v>1</v>
      </c>
      <c r="E51" s="222">
        <f t="shared" ca="1" si="4"/>
        <v>0</v>
      </c>
      <c r="F51" s="222">
        <f t="shared" ca="1" si="5"/>
        <v>0</v>
      </c>
      <c r="G51" s="222">
        <f t="shared" ca="1" si="6"/>
        <v>0</v>
      </c>
      <c r="H51" s="222">
        <f t="shared" ca="1" si="7"/>
        <v>7</v>
      </c>
      <c r="I51" s="222">
        <f t="shared" ca="1" si="8"/>
        <v>11</v>
      </c>
      <c r="J51" s="222">
        <f t="shared" si="9"/>
        <v>1</v>
      </c>
      <c r="K51" s="269" t="str">
        <f>CHOOSE(1+LOG(1+2*($J51=3)+4*($J51=2)+8*($J51=1)+16*(AND($L51&lt;&gt;"",$L51&lt;&gt;0,$J51=0))+32*OR($N51&lt;&gt;"",RegimeExecucao="Global",AND($L51="",$M51="",$N51="")),2),"","Nível 4","Nível 3","Nível 2","Meta","Serviço")</f>
        <v>Nível 2</v>
      </c>
      <c r="L51" s="336" t="s">
        <v>102</v>
      </c>
      <c r="M51" s="325" t="s">
        <v>103</v>
      </c>
      <c r="N51" s="326"/>
      <c r="O51" s="327"/>
      <c r="P51" s="328"/>
      <c r="Q51" s="329">
        <f t="shared" si="14"/>
        <v>5837.2699999999995</v>
      </c>
      <c r="R51" s="330">
        <f>SUM(R52:R57)</f>
        <v>5837.2699999999995</v>
      </c>
      <c r="S51" s="331">
        <f>Z51+AA51</f>
        <v>0</v>
      </c>
      <c r="T51" s="337">
        <f>AB51</f>
        <v>0</v>
      </c>
      <c r="U51" s="332">
        <f t="shared" si="21"/>
        <v>0</v>
      </c>
      <c r="V51" s="338">
        <f>SUM(V52:V57)</f>
        <v>1864.1399999999999</v>
      </c>
      <c r="W51" s="339">
        <f>SUM(W52:W57)</f>
        <v>0</v>
      </c>
      <c r="X51" s="340">
        <f t="shared" si="23"/>
        <v>1864.1399999999999</v>
      </c>
      <c r="Y51" s="333"/>
      <c r="Z51" s="334"/>
      <c r="AA51" s="328"/>
      <c r="AB51" s="328"/>
      <c r="AC51" s="328"/>
      <c r="AD51" s="328"/>
      <c r="AE51" s="328"/>
      <c r="AF51" s="328"/>
      <c r="AG51" s="328"/>
      <c r="AH51" s="328"/>
      <c r="AI51" s="328"/>
      <c r="AJ51" s="328"/>
      <c r="AK51" s="335"/>
      <c r="AL51" s="334"/>
      <c r="AM51" s="328"/>
      <c r="AN51" s="328"/>
      <c r="AO51" s="328"/>
      <c r="AP51" s="328"/>
      <c r="AQ51" s="271"/>
      <c r="AR51" s="271"/>
      <c r="AS51" s="271"/>
      <c r="AT51" s="271"/>
      <c r="AU51" s="271"/>
      <c r="AV51" s="271"/>
      <c r="AW51" s="272"/>
      <c r="AX51" s="245"/>
      <c r="AY51" s="273">
        <v>0</v>
      </c>
      <c r="AZ51" s="274">
        <f t="shared" si="15"/>
        <v>0</v>
      </c>
      <c r="BA51" s="275">
        <v>0</v>
      </c>
      <c r="BB51" s="276" t="e">
        <f t="shared" ca="1" si="10"/>
        <v>#REF!</v>
      </c>
      <c r="BC51" s="277" t="e">
        <f t="shared" ca="1" si="16"/>
        <v>#REF!</v>
      </c>
      <c r="BD51" s="278" t="e">
        <f t="shared" ca="1" si="11"/>
        <v>#REF!</v>
      </c>
      <c r="BF51" s="770" t="e">
        <f t="shared" ca="1" si="17"/>
        <v>#REF!</v>
      </c>
      <c r="BG51" s="771"/>
      <c r="BH51" s="279" t="e">
        <f t="shared" ca="1" si="18"/>
        <v>#REF!</v>
      </c>
      <c r="BI51" s="772" t="e">
        <f t="shared" ca="1" si="19"/>
        <v>#REF!</v>
      </c>
      <c r="BJ51" s="773"/>
      <c r="BK51" s="774" t="e">
        <f ca="1">IF(BR51&gt;0,CHOOSE(MATCH(RegimeExecucao,{"Unitário","Global"},0),IF($A51="S",BR51/BN51,""),(BR51/BN51)*100),"")</f>
        <v>#REF!</v>
      </c>
      <c r="BL51" s="775"/>
      <c r="BM51" s="776"/>
      <c r="BN51" s="777" t="e">
        <f ca="1">IF(BR51&gt;0,CHOOSE(MATCH(RegimeExecucao,{"Unitário","Global"},0),IF($A51="S",ROUND(P51,arredunit),""),ROUND(R51,arredtot)),"")</f>
        <v>#REF!</v>
      </c>
      <c r="BO51" s="778"/>
      <c r="BP51" s="778"/>
      <c r="BQ51" s="779"/>
      <c r="BR51" s="777" t="e">
        <f t="shared" ca="1" si="1"/>
        <v>#REF!</v>
      </c>
      <c r="BS51" s="778"/>
      <c r="BT51" s="778"/>
      <c r="BU51" s="779"/>
      <c r="BV51" s="780"/>
      <c r="BW51" s="780"/>
      <c r="BX51" s="780"/>
      <c r="BY51" s="780"/>
      <c r="BZ51" s="780"/>
      <c r="CA51" s="781"/>
      <c r="CB51" s="245"/>
      <c r="CC51" s="245"/>
    </row>
    <row r="52" spans="1:81" s="222" customFormat="1" ht="27.6">
      <c r="A52" s="222" t="str">
        <f t="shared" si="12"/>
        <v>S</v>
      </c>
      <c r="B52" s="222">
        <f t="shared" si="13"/>
        <v>0</v>
      </c>
      <c r="C52" s="222">
        <f t="shared" ca="1" si="2"/>
        <v>7</v>
      </c>
      <c r="D52" s="222">
        <f t="shared" ca="1" si="3"/>
        <v>1</v>
      </c>
      <c r="E52" s="222">
        <f t="shared" ca="1" si="4"/>
        <v>0</v>
      </c>
      <c r="F52" s="222">
        <f t="shared" ca="1" si="5"/>
        <v>0</v>
      </c>
      <c r="G52" s="222">
        <f t="shared" ca="1" si="6"/>
        <v>1</v>
      </c>
      <c r="H52" s="222">
        <f t="shared" ca="1" si="7"/>
        <v>0</v>
      </c>
      <c r="I52" s="222">
        <f t="shared" ca="1" si="8"/>
        <v>0</v>
      </c>
      <c r="J52" s="222">
        <f t="shared" si="9"/>
        <v>2</v>
      </c>
      <c r="K52" s="269" t="s">
        <v>4</v>
      </c>
      <c r="L52" s="336" t="s">
        <v>104</v>
      </c>
      <c r="M52" s="325" t="s">
        <v>105</v>
      </c>
      <c r="N52" s="326" t="s">
        <v>93</v>
      </c>
      <c r="O52" s="327">
        <v>1</v>
      </c>
      <c r="P52" s="328">
        <v>623.73</v>
      </c>
      <c r="Q52" s="329">
        <f t="shared" si="14"/>
        <v>0</v>
      </c>
      <c r="R52" s="330">
        <f t="shared" si="20"/>
        <v>623.73</v>
      </c>
      <c r="S52" s="331">
        <f t="shared" ref="S52:S57" si="28">Z52+AA52+AB52</f>
        <v>1</v>
      </c>
      <c r="T52" s="337">
        <f t="shared" ref="T52:T57" si="29">AC52</f>
        <v>0</v>
      </c>
      <c r="U52" s="332">
        <f t="shared" si="21"/>
        <v>1</v>
      </c>
      <c r="V52" s="338">
        <f>P52*S52</f>
        <v>623.73</v>
      </c>
      <c r="W52" s="339">
        <f t="shared" si="22"/>
        <v>0</v>
      </c>
      <c r="X52" s="340">
        <f t="shared" si="23"/>
        <v>623.73</v>
      </c>
      <c r="Y52" s="333"/>
      <c r="Z52" s="334"/>
      <c r="AA52" s="328">
        <v>1</v>
      </c>
      <c r="AB52" s="328"/>
      <c r="AC52" s="328"/>
      <c r="AD52" s="328"/>
      <c r="AE52" s="328"/>
      <c r="AF52" s="328"/>
      <c r="AG52" s="328"/>
      <c r="AH52" s="328"/>
      <c r="AI52" s="328"/>
      <c r="AJ52" s="328"/>
      <c r="AK52" s="335"/>
      <c r="AL52" s="334"/>
      <c r="AM52" s="328"/>
      <c r="AN52" s="328"/>
      <c r="AO52" s="328"/>
      <c r="AP52" s="328"/>
      <c r="AQ52" s="271"/>
      <c r="AR52" s="271"/>
      <c r="AS52" s="271"/>
      <c r="AT52" s="271"/>
      <c r="AU52" s="271"/>
      <c r="AV52" s="271"/>
      <c r="AW52" s="272"/>
      <c r="AX52" s="245"/>
      <c r="AY52" s="273">
        <v>0</v>
      </c>
      <c r="AZ52" s="274">
        <f t="shared" si="15"/>
        <v>0</v>
      </c>
      <c r="BA52" s="275">
        <v>0</v>
      </c>
      <c r="BB52" s="276" t="e">
        <f t="shared" si="10"/>
        <v>#REF!</v>
      </c>
      <c r="BC52" s="277" t="e">
        <f t="shared" si="16"/>
        <v>#REF!</v>
      </c>
      <c r="BD52" s="278" t="e">
        <f t="shared" si="11"/>
        <v>#REF!</v>
      </c>
      <c r="BF52" s="770" t="e">
        <f t="shared" si="17"/>
        <v>#REF!</v>
      </c>
      <c r="BG52" s="771"/>
      <c r="BH52" s="279" t="e">
        <f t="shared" si="18"/>
        <v>#REF!</v>
      </c>
      <c r="BI52" s="772" t="e">
        <f t="shared" si="19"/>
        <v>#REF!</v>
      </c>
      <c r="BJ52" s="773"/>
      <c r="BK52" s="774" t="e">
        <f>IF(BR52&gt;0,CHOOSE(MATCH(RegimeExecucao,{"Unitário","Global"},0),IF($A52="S",BR52/BN52,""),(BR52/BN52)*100),"")</f>
        <v>#REF!</v>
      </c>
      <c r="BL52" s="775"/>
      <c r="BM52" s="776"/>
      <c r="BN52" s="777" t="e">
        <f>IF(BR52&gt;0,CHOOSE(MATCH(RegimeExecucao,{"Unitário","Global"},0),IF($A52="S",ROUND(P52,arredunit),""),ROUND(R52,arredtot)),"")</f>
        <v>#REF!</v>
      </c>
      <c r="BO52" s="778"/>
      <c r="BP52" s="778"/>
      <c r="BQ52" s="779"/>
      <c r="BR52" s="777" t="e">
        <f t="shared" si="1"/>
        <v>#REF!</v>
      </c>
      <c r="BS52" s="778"/>
      <c r="BT52" s="778"/>
      <c r="BU52" s="779"/>
      <c r="BV52" s="780"/>
      <c r="BW52" s="780"/>
      <c r="BX52" s="780"/>
      <c r="BY52" s="780"/>
      <c r="BZ52" s="780"/>
      <c r="CA52" s="781"/>
      <c r="CB52" s="245"/>
      <c r="CC52" s="245"/>
    </row>
    <row r="53" spans="1:81" s="222" customFormat="1" ht="55.2">
      <c r="A53" s="222" t="str">
        <f t="shared" si="12"/>
        <v>S</v>
      </c>
      <c r="B53" s="222">
        <f t="shared" si="13"/>
        <v>0</v>
      </c>
      <c r="C53" s="222">
        <f t="shared" ca="1" si="2"/>
        <v>7</v>
      </c>
      <c r="D53" s="222">
        <f t="shared" ca="1" si="3"/>
        <v>1</v>
      </c>
      <c r="E53" s="222">
        <f t="shared" ca="1" si="4"/>
        <v>0</v>
      </c>
      <c r="F53" s="222">
        <f t="shared" ca="1" si="5"/>
        <v>0</v>
      </c>
      <c r="G53" s="222">
        <f t="shared" ca="1" si="6"/>
        <v>2</v>
      </c>
      <c r="H53" s="222">
        <f t="shared" ca="1" si="7"/>
        <v>0</v>
      </c>
      <c r="I53" s="222">
        <f t="shared" ca="1" si="8"/>
        <v>0</v>
      </c>
      <c r="J53" s="222">
        <f t="shared" si="9"/>
        <v>2</v>
      </c>
      <c r="K53" s="269" t="s">
        <v>4</v>
      </c>
      <c r="L53" s="336" t="s">
        <v>106</v>
      </c>
      <c r="M53" s="325" t="s">
        <v>107</v>
      </c>
      <c r="N53" s="326" t="s">
        <v>93</v>
      </c>
      <c r="O53" s="327">
        <v>2</v>
      </c>
      <c r="P53" s="328">
        <v>139.47999999999999</v>
      </c>
      <c r="Q53" s="329">
        <f t="shared" si="14"/>
        <v>0</v>
      </c>
      <c r="R53" s="330">
        <f t="shared" si="20"/>
        <v>278.95999999999998</v>
      </c>
      <c r="S53" s="331">
        <f t="shared" si="28"/>
        <v>2</v>
      </c>
      <c r="T53" s="337">
        <f t="shared" si="29"/>
        <v>0</v>
      </c>
      <c r="U53" s="332">
        <f t="shared" si="21"/>
        <v>2</v>
      </c>
      <c r="V53" s="338">
        <f t="shared" ref="V53:V57" si="30">P53*S53</f>
        <v>278.95999999999998</v>
      </c>
      <c r="W53" s="339">
        <f t="shared" si="22"/>
        <v>0</v>
      </c>
      <c r="X53" s="340">
        <f t="shared" si="23"/>
        <v>278.95999999999998</v>
      </c>
      <c r="Y53" s="333"/>
      <c r="Z53" s="334"/>
      <c r="AA53" s="328">
        <v>2</v>
      </c>
      <c r="AB53" s="328"/>
      <c r="AC53" s="328"/>
      <c r="AD53" s="328"/>
      <c r="AE53" s="328"/>
      <c r="AF53" s="328"/>
      <c r="AG53" s="328"/>
      <c r="AH53" s="328"/>
      <c r="AI53" s="328"/>
      <c r="AJ53" s="328"/>
      <c r="AK53" s="335"/>
      <c r="AL53" s="334"/>
      <c r="AM53" s="328"/>
      <c r="AN53" s="328"/>
      <c r="AO53" s="328"/>
      <c r="AP53" s="328"/>
      <c r="AQ53" s="271"/>
      <c r="AR53" s="271"/>
      <c r="AS53" s="271"/>
      <c r="AT53" s="271"/>
      <c r="AU53" s="271"/>
      <c r="AV53" s="271"/>
      <c r="AW53" s="272"/>
      <c r="AX53" s="245"/>
      <c r="AY53" s="273">
        <v>0</v>
      </c>
      <c r="AZ53" s="274">
        <f t="shared" si="15"/>
        <v>0</v>
      </c>
      <c r="BA53" s="275">
        <v>0</v>
      </c>
      <c r="BB53" s="276" t="e">
        <f t="shared" si="10"/>
        <v>#REF!</v>
      </c>
      <c r="BC53" s="277" t="e">
        <f t="shared" si="16"/>
        <v>#REF!</v>
      </c>
      <c r="BD53" s="278" t="e">
        <f t="shared" si="11"/>
        <v>#REF!</v>
      </c>
      <c r="BF53" s="770" t="e">
        <f t="shared" si="17"/>
        <v>#REF!</v>
      </c>
      <c r="BG53" s="771"/>
      <c r="BH53" s="279" t="e">
        <f t="shared" si="18"/>
        <v>#REF!</v>
      </c>
      <c r="BI53" s="772" t="e">
        <f t="shared" si="19"/>
        <v>#REF!</v>
      </c>
      <c r="BJ53" s="773"/>
      <c r="BK53" s="774" t="e">
        <f>IF(BR53&gt;0,CHOOSE(MATCH(RegimeExecucao,{"Unitário","Global"},0),IF($A53="S",BR53/BN53,""),(BR53/BN53)*100),"")</f>
        <v>#REF!</v>
      </c>
      <c r="BL53" s="775"/>
      <c r="BM53" s="776"/>
      <c r="BN53" s="777" t="e">
        <f>IF(BR53&gt;0,CHOOSE(MATCH(RegimeExecucao,{"Unitário","Global"},0),IF($A53="S",ROUND(P53,arredunit),""),ROUND(R53,arredtot)),"")</f>
        <v>#REF!</v>
      </c>
      <c r="BO53" s="778"/>
      <c r="BP53" s="778"/>
      <c r="BQ53" s="779"/>
      <c r="BR53" s="777" t="e">
        <f t="shared" si="1"/>
        <v>#REF!</v>
      </c>
      <c r="BS53" s="778"/>
      <c r="BT53" s="778"/>
      <c r="BU53" s="779"/>
      <c r="BV53" s="780"/>
      <c r="BW53" s="780"/>
      <c r="BX53" s="780"/>
      <c r="BY53" s="780"/>
      <c r="BZ53" s="780"/>
      <c r="CA53" s="781"/>
      <c r="CB53" s="245"/>
      <c r="CC53" s="245"/>
    </row>
    <row r="54" spans="1:81" s="222" customFormat="1" ht="13.8">
      <c r="A54" s="222" t="str">
        <f t="shared" si="12"/>
        <v>S</v>
      </c>
      <c r="B54" s="222">
        <f t="shared" si="13"/>
        <v>0</v>
      </c>
      <c r="C54" s="222">
        <f t="shared" ca="1" si="2"/>
        <v>7</v>
      </c>
      <c r="D54" s="222">
        <f t="shared" ca="1" si="3"/>
        <v>1</v>
      </c>
      <c r="E54" s="222">
        <f t="shared" ca="1" si="4"/>
        <v>0</v>
      </c>
      <c r="F54" s="222">
        <f t="shared" ca="1" si="5"/>
        <v>0</v>
      </c>
      <c r="G54" s="222">
        <f t="shared" ca="1" si="6"/>
        <v>3</v>
      </c>
      <c r="H54" s="222">
        <f t="shared" ca="1" si="7"/>
        <v>0</v>
      </c>
      <c r="I54" s="222">
        <f t="shared" ca="1" si="8"/>
        <v>0</v>
      </c>
      <c r="J54" s="222">
        <f t="shared" si="9"/>
        <v>2</v>
      </c>
      <c r="K54" s="269" t="s">
        <v>4</v>
      </c>
      <c r="L54" s="336" t="s">
        <v>108</v>
      </c>
      <c r="M54" s="325" t="s">
        <v>109</v>
      </c>
      <c r="N54" s="326" t="s">
        <v>93</v>
      </c>
      <c r="O54" s="327">
        <v>1</v>
      </c>
      <c r="P54" s="328">
        <v>42.55</v>
      </c>
      <c r="Q54" s="329">
        <f t="shared" si="14"/>
        <v>0</v>
      </c>
      <c r="R54" s="330">
        <f t="shared" si="20"/>
        <v>42.55</v>
      </c>
      <c r="S54" s="331">
        <f t="shared" si="28"/>
        <v>0</v>
      </c>
      <c r="T54" s="337">
        <f t="shared" si="29"/>
        <v>0</v>
      </c>
      <c r="U54" s="332">
        <f t="shared" si="21"/>
        <v>0</v>
      </c>
      <c r="V54" s="338">
        <f t="shared" si="30"/>
        <v>0</v>
      </c>
      <c r="W54" s="339">
        <f t="shared" si="22"/>
        <v>0</v>
      </c>
      <c r="X54" s="340">
        <f t="shared" si="23"/>
        <v>0</v>
      </c>
      <c r="Y54" s="333"/>
      <c r="Z54" s="334"/>
      <c r="AA54" s="328"/>
      <c r="AB54" s="328"/>
      <c r="AC54" s="328"/>
      <c r="AD54" s="328"/>
      <c r="AE54" s="328"/>
      <c r="AF54" s="328"/>
      <c r="AG54" s="328"/>
      <c r="AH54" s="328"/>
      <c r="AI54" s="328"/>
      <c r="AJ54" s="328"/>
      <c r="AK54" s="335"/>
      <c r="AL54" s="334"/>
      <c r="AM54" s="328"/>
      <c r="AN54" s="328"/>
      <c r="AO54" s="328"/>
      <c r="AP54" s="328"/>
      <c r="AQ54" s="271"/>
      <c r="AR54" s="271"/>
      <c r="AS54" s="271"/>
      <c r="AT54" s="271"/>
      <c r="AU54" s="271"/>
      <c r="AV54" s="271"/>
      <c r="AW54" s="272"/>
      <c r="AX54" s="245"/>
      <c r="AY54" s="273">
        <v>0</v>
      </c>
      <c r="AZ54" s="274">
        <f t="shared" si="15"/>
        <v>0</v>
      </c>
      <c r="BA54" s="275">
        <v>0</v>
      </c>
      <c r="BB54" s="276" t="e">
        <f t="shared" si="10"/>
        <v>#REF!</v>
      </c>
      <c r="BC54" s="277" t="e">
        <f t="shared" si="16"/>
        <v>#REF!</v>
      </c>
      <c r="BD54" s="278" t="e">
        <f t="shared" si="11"/>
        <v>#REF!</v>
      </c>
      <c r="BF54" s="770" t="e">
        <f t="shared" si="17"/>
        <v>#REF!</v>
      </c>
      <c r="BG54" s="771"/>
      <c r="BH54" s="279" t="e">
        <f t="shared" si="18"/>
        <v>#REF!</v>
      </c>
      <c r="BI54" s="772" t="e">
        <f t="shared" si="19"/>
        <v>#REF!</v>
      </c>
      <c r="BJ54" s="773"/>
      <c r="BK54" s="774" t="e">
        <f>IF(BR54&gt;0,CHOOSE(MATCH(RegimeExecucao,{"Unitário","Global"},0),IF($A54="S",BR54/BN54,""),(BR54/BN54)*100),"")</f>
        <v>#REF!</v>
      </c>
      <c r="BL54" s="775"/>
      <c r="BM54" s="776"/>
      <c r="BN54" s="777" t="e">
        <f>IF(BR54&gt;0,CHOOSE(MATCH(RegimeExecucao,{"Unitário","Global"},0),IF($A54="S",ROUND(P54,arredunit),""),ROUND(R54,arredtot)),"")</f>
        <v>#REF!</v>
      </c>
      <c r="BO54" s="778"/>
      <c r="BP54" s="778"/>
      <c r="BQ54" s="779"/>
      <c r="BR54" s="777" t="e">
        <f t="shared" si="1"/>
        <v>#REF!</v>
      </c>
      <c r="BS54" s="778"/>
      <c r="BT54" s="778"/>
      <c r="BU54" s="779"/>
      <c r="BV54" s="780"/>
      <c r="BW54" s="780"/>
      <c r="BX54" s="780"/>
      <c r="BY54" s="780"/>
      <c r="BZ54" s="780"/>
      <c r="CA54" s="781"/>
      <c r="CB54" s="245"/>
      <c r="CC54" s="245"/>
    </row>
    <row r="55" spans="1:81" s="222" customFormat="1" ht="27.6">
      <c r="A55" s="222" t="str">
        <f t="shared" si="12"/>
        <v>S</v>
      </c>
      <c r="B55" s="222">
        <f t="shared" si="13"/>
        <v>0</v>
      </c>
      <c r="C55" s="222">
        <f t="shared" ca="1" si="2"/>
        <v>7</v>
      </c>
      <c r="D55" s="222">
        <f t="shared" ca="1" si="3"/>
        <v>1</v>
      </c>
      <c r="E55" s="222">
        <f t="shared" ca="1" si="4"/>
        <v>0</v>
      </c>
      <c r="F55" s="222">
        <f t="shared" ca="1" si="5"/>
        <v>0</v>
      </c>
      <c r="G55" s="222">
        <f t="shared" ca="1" si="6"/>
        <v>4</v>
      </c>
      <c r="H55" s="222">
        <f t="shared" ca="1" si="7"/>
        <v>0</v>
      </c>
      <c r="I55" s="222">
        <f t="shared" ca="1" si="8"/>
        <v>0</v>
      </c>
      <c r="J55" s="222">
        <f t="shared" si="9"/>
        <v>2</v>
      </c>
      <c r="K55" s="269" t="s">
        <v>4</v>
      </c>
      <c r="L55" s="336" t="s">
        <v>110</v>
      </c>
      <c r="M55" s="325" t="s">
        <v>111</v>
      </c>
      <c r="N55" s="326" t="s">
        <v>93</v>
      </c>
      <c r="O55" s="327">
        <v>1</v>
      </c>
      <c r="P55" s="328">
        <v>937.89</v>
      </c>
      <c r="Q55" s="329">
        <f t="shared" si="14"/>
        <v>0</v>
      </c>
      <c r="R55" s="330">
        <f t="shared" si="20"/>
        <v>937.89</v>
      </c>
      <c r="S55" s="331">
        <f t="shared" si="28"/>
        <v>1</v>
      </c>
      <c r="T55" s="337">
        <f t="shared" si="29"/>
        <v>0</v>
      </c>
      <c r="U55" s="332">
        <f t="shared" si="21"/>
        <v>1</v>
      </c>
      <c r="V55" s="338">
        <f t="shared" si="30"/>
        <v>937.89</v>
      </c>
      <c r="W55" s="339">
        <f t="shared" si="22"/>
        <v>0</v>
      </c>
      <c r="X55" s="340">
        <f t="shared" si="23"/>
        <v>937.89</v>
      </c>
      <c r="Y55" s="333"/>
      <c r="Z55" s="334"/>
      <c r="AA55" s="328">
        <v>1</v>
      </c>
      <c r="AB55" s="328"/>
      <c r="AC55" s="328"/>
      <c r="AD55" s="328"/>
      <c r="AE55" s="328"/>
      <c r="AF55" s="328"/>
      <c r="AG55" s="328"/>
      <c r="AH55" s="328"/>
      <c r="AI55" s="328"/>
      <c r="AJ55" s="328"/>
      <c r="AK55" s="335"/>
      <c r="AL55" s="334"/>
      <c r="AM55" s="328"/>
      <c r="AN55" s="328"/>
      <c r="AO55" s="328"/>
      <c r="AP55" s="328"/>
      <c r="AQ55" s="271"/>
      <c r="AR55" s="271"/>
      <c r="AS55" s="271"/>
      <c r="AT55" s="271"/>
      <c r="AU55" s="271"/>
      <c r="AV55" s="271"/>
      <c r="AW55" s="272"/>
      <c r="AX55" s="245"/>
      <c r="AY55" s="273">
        <v>0</v>
      </c>
      <c r="AZ55" s="274">
        <f t="shared" si="15"/>
        <v>0</v>
      </c>
      <c r="BA55" s="275">
        <v>0</v>
      </c>
      <c r="BB55" s="276" t="e">
        <f t="shared" si="10"/>
        <v>#REF!</v>
      </c>
      <c r="BC55" s="277" t="e">
        <f t="shared" si="16"/>
        <v>#REF!</v>
      </c>
      <c r="BD55" s="278" t="e">
        <f t="shared" si="11"/>
        <v>#REF!</v>
      </c>
      <c r="BF55" s="770" t="e">
        <f t="shared" si="17"/>
        <v>#REF!</v>
      </c>
      <c r="BG55" s="771"/>
      <c r="BH55" s="279" t="e">
        <f t="shared" si="18"/>
        <v>#REF!</v>
      </c>
      <c r="BI55" s="772" t="e">
        <f t="shared" si="19"/>
        <v>#REF!</v>
      </c>
      <c r="BJ55" s="773"/>
      <c r="BK55" s="774" t="e">
        <f>IF(BR55&gt;0,CHOOSE(MATCH(RegimeExecucao,{"Unitário","Global"},0),IF($A55="S",BR55/BN55,""),(BR55/BN55)*100),"")</f>
        <v>#REF!</v>
      </c>
      <c r="BL55" s="775"/>
      <c r="BM55" s="776"/>
      <c r="BN55" s="777" t="e">
        <f>IF(BR55&gt;0,CHOOSE(MATCH(RegimeExecucao,{"Unitário","Global"},0),IF($A55="S",ROUND(P55,arredunit),""),ROUND(R55,arredtot)),"")</f>
        <v>#REF!</v>
      </c>
      <c r="BO55" s="778"/>
      <c r="BP55" s="778"/>
      <c r="BQ55" s="779"/>
      <c r="BR55" s="777" t="e">
        <f t="shared" si="1"/>
        <v>#REF!</v>
      </c>
      <c r="BS55" s="778"/>
      <c r="BT55" s="778"/>
      <c r="BU55" s="779"/>
      <c r="BV55" s="780"/>
      <c r="BW55" s="780"/>
      <c r="BX55" s="780"/>
      <c r="BY55" s="780"/>
      <c r="BZ55" s="780"/>
      <c r="CA55" s="781"/>
      <c r="CB55" s="245"/>
      <c r="CC55" s="245"/>
    </row>
    <row r="56" spans="1:81" s="222" customFormat="1" ht="27.6">
      <c r="A56" s="222" t="str">
        <f t="shared" si="12"/>
        <v>S</v>
      </c>
      <c r="B56" s="222">
        <f t="shared" si="13"/>
        <v>0</v>
      </c>
      <c r="C56" s="222">
        <f t="shared" ca="1" si="2"/>
        <v>7</v>
      </c>
      <c r="D56" s="222">
        <f t="shared" ca="1" si="3"/>
        <v>1</v>
      </c>
      <c r="E56" s="222">
        <f t="shared" ca="1" si="4"/>
        <v>0</v>
      </c>
      <c r="F56" s="222">
        <f t="shared" ca="1" si="5"/>
        <v>0</v>
      </c>
      <c r="G56" s="222">
        <f t="shared" ca="1" si="6"/>
        <v>5</v>
      </c>
      <c r="H56" s="222">
        <f t="shared" ca="1" si="7"/>
        <v>0</v>
      </c>
      <c r="I56" s="222">
        <f t="shared" ca="1" si="8"/>
        <v>0</v>
      </c>
      <c r="J56" s="222">
        <f t="shared" si="9"/>
        <v>2</v>
      </c>
      <c r="K56" s="269" t="s">
        <v>4</v>
      </c>
      <c r="L56" s="336" t="s">
        <v>112</v>
      </c>
      <c r="M56" s="325" t="s">
        <v>113</v>
      </c>
      <c r="N56" s="326" t="s">
        <v>93</v>
      </c>
      <c r="O56" s="327">
        <v>1.9991511035653653</v>
      </c>
      <c r="P56" s="328">
        <v>11.78</v>
      </c>
      <c r="Q56" s="329">
        <f t="shared" si="14"/>
        <v>0</v>
      </c>
      <c r="R56" s="330">
        <f t="shared" si="20"/>
        <v>23.55</v>
      </c>
      <c r="S56" s="331">
        <f t="shared" si="28"/>
        <v>2</v>
      </c>
      <c r="T56" s="337">
        <f t="shared" si="29"/>
        <v>0</v>
      </c>
      <c r="U56" s="332">
        <f t="shared" si="21"/>
        <v>2</v>
      </c>
      <c r="V56" s="338">
        <f t="shared" si="30"/>
        <v>23.56</v>
      </c>
      <c r="W56" s="339">
        <f t="shared" si="22"/>
        <v>0</v>
      </c>
      <c r="X56" s="340">
        <f t="shared" si="23"/>
        <v>23.56</v>
      </c>
      <c r="Y56" s="333"/>
      <c r="Z56" s="334">
        <v>1</v>
      </c>
      <c r="AA56" s="328">
        <v>1</v>
      </c>
      <c r="AB56" s="328"/>
      <c r="AC56" s="328"/>
      <c r="AD56" s="328"/>
      <c r="AE56" s="328"/>
      <c r="AF56" s="328"/>
      <c r="AG56" s="328"/>
      <c r="AH56" s="328"/>
      <c r="AI56" s="328"/>
      <c r="AJ56" s="328"/>
      <c r="AK56" s="335"/>
      <c r="AL56" s="334"/>
      <c r="AM56" s="328"/>
      <c r="AN56" s="328"/>
      <c r="AO56" s="328"/>
      <c r="AP56" s="328"/>
      <c r="AQ56" s="271"/>
      <c r="AR56" s="271"/>
      <c r="AS56" s="271"/>
      <c r="AT56" s="271"/>
      <c r="AU56" s="271"/>
      <c r="AV56" s="271"/>
      <c r="AW56" s="272"/>
      <c r="AX56" s="245"/>
      <c r="AY56" s="273">
        <v>0</v>
      </c>
      <c r="AZ56" s="274">
        <f t="shared" si="15"/>
        <v>0</v>
      </c>
      <c r="BA56" s="275">
        <v>0</v>
      </c>
      <c r="BB56" s="276" t="e">
        <f t="shared" si="10"/>
        <v>#REF!</v>
      </c>
      <c r="BC56" s="277" t="e">
        <f t="shared" si="16"/>
        <v>#REF!</v>
      </c>
      <c r="BD56" s="278" t="e">
        <f t="shared" si="11"/>
        <v>#REF!</v>
      </c>
      <c r="BF56" s="770" t="e">
        <f t="shared" si="17"/>
        <v>#REF!</v>
      </c>
      <c r="BG56" s="771"/>
      <c r="BH56" s="279" t="e">
        <f t="shared" si="18"/>
        <v>#REF!</v>
      </c>
      <c r="BI56" s="772" t="e">
        <f t="shared" si="19"/>
        <v>#REF!</v>
      </c>
      <c r="BJ56" s="773"/>
      <c r="BK56" s="774" t="e">
        <f>IF(BR56&gt;0,CHOOSE(MATCH(RegimeExecucao,{"Unitário","Global"},0),IF($A56="S",BR56/BN56,""),(BR56/BN56)*100),"")</f>
        <v>#REF!</v>
      </c>
      <c r="BL56" s="775"/>
      <c r="BM56" s="776"/>
      <c r="BN56" s="777" t="e">
        <f>IF(BR56&gt;0,CHOOSE(MATCH(RegimeExecucao,{"Unitário","Global"},0),IF($A56="S",ROUND(P56,arredunit),""),ROUND(R56,arredtot)),"")</f>
        <v>#REF!</v>
      </c>
      <c r="BO56" s="778"/>
      <c r="BP56" s="778"/>
      <c r="BQ56" s="779"/>
      <c r="BR56" s="777" t="e">
        <f t="shared" si="1"/>
        <v>#REF!</v>
      </c>
      <c r="BS56" s="778"/>
      <c r="BT56" s="778"/>
      <c r="BU56" s="779"/>
      <c r="BV56" s="780"/>
      <c r="BW56" s="780"/>
      <c r="BX56" s="780"/>
      <c r="BY56" s="780"/>
      <c r="BZ56" s="780"/>
      <c r="CA56" s="781"/>
      <c r="CB56" s="245"/>
      <c r="CC56" s="245"/>
    </row>
    <row r="57" spans="1:81" s="222" customFormat="1" ht="34.799999999999997" customHeight="1">
      <c r="A57" s="222" t="str">
        <f t="shared" si="12"/>
        <v>S</v>
      </c>
      <c r="B57" s="222">
        <f t="shared" si="13"/>
        <v>0</v>
      </c>
      <c r="C57" s="222">
        <f t="shared" ca="1" si="2"/>
        <v>7</v>
      </c>
      <c r="D57" s="222">
        <f t="shared" ca="1" si="3"/>
        <v>1</v>
      </c>
      <c r="E57" s="222">
        <f t="shared" ca="1" si="4"/>
        <v>0</v>
      </c>
      <c r="F57" s="222">
        <f t="shared" ca="1" si="5"/>
        <v>0</v>
      </c>
      <c r="G57" s="222">
        <f t="shared" ca="1" si="6"/>
        <v>6</v>
      </c>
      <c r="H57" s="222">
        <f t="shared" ca="1" si="7"/>
        <v>0</v>
      </c>
      <c r="I57" s="222">
        <f t="shared" ca="1" si="8"/>
        <v>0</v>
      </c>
      <c r="J57" s="222">
        <f t="shared" si="9"/>
        <v>2</v>
      </c>
      <c r="K57" s="269" t="s">
        <v>4</v>
      </c>
      <c r="L57" s="336" t="s">
        <v>114</v>
      </c>
      <c r="M57" s="325" t="s">
        <v>115</v>
      </c>
      <c r="N57" s="326" t="s">
        <v>93</v>
      </c>
      <c r="O57" s="327">
        <v>2.0000050883075779</v>
      </c>
      <c r="P57" s="328">
        <v>1965.29</v>
      </c>
      <c r="Q57" s="329">
        <f t="shared" si="14"/>
        <v>0</v>
      </c>
      <c r="R57" s="330">
        <f t="shared" si="20"/>
        <v>3930.5899999999997</v>
      </c>
      <c r="S57" s="331">
        <f t="shared" si="28"/>
        <v>0</v>
      </c>
      <c r="T57" s="337">
        <f t="shared" si="29"/>
        <v>0</v>
      </c>
      <c r="U57" s="332">
        <f t="shared" si="21"/>
        <v>0</v>
      </c>
      <c r="V57" s="338">
        <f t="shared" si="30"/>
        <v>0</v>
      </c>
      <c r="W57" s="339">
        <f t="shared" si="22"/>
        <v>0</v>
      </c>
      <c r="X57" s="340">
        <f t="shared" si="23"/>
        <v>0</v>
      </c>
      <c r="Y57" s="333"/>
      <c r="Z57" s="334"/>
      <c r="AA57" s="328"/>
      <c r="AB57" s="328"/>
      <c r="AC57" s="328"/>
      <c r="AD57" s="328"/>
      <c r="AE57" s="328"/>
      <c r="AF57" s="328"/>
      <c r="AG57" s="328"/>
      <c r="AH57" s="328"/>
      <c r="AI57" s="328"/>
      <c r="AJ57" s="328"/>
      <c r="AK57" s="335"/>
      <c r="AL57" s="334"/>
      <c r="AM57" s="328"/>
      <c r="AN57" s="328"/>
      <c r="AO57" s="328"/>
      <c r="AP57" s="328"/>
      <c r="AQ57" s="271"/>
      <c r="AR57" s="271"/>
      <c r="AS57" s="271"/>
      <c r="AT57" s="271"/>
      <c r="AU57" s="271"/>
      <c r="AV57" s="271"/>
      <c r="AW57" s="272"/>
      <c r="AX57" s="245"/>
      <c r="AY57" s="273">
        <v>0</v>
      </c>
      <c r="AZ57" s="274">
        <f t="shared" si="15"/>
        <v>0</v>
      </c>
      <c r="BA57" s="275">
        <v>0</v>
      </c>
      <c r="BB57" s="276" t="e">
        <f t="shared" si="10"/>
        <v>#REF!</v>
      </c>
      <c r="BC57" s="277" t="e">
        <f t="shared" si="16"/>
        <v>#REF!</v>
      </c>
      <c r="BD57" s="278" t="e">
        <f t="shared" si="11"/>
        <v>#REF!</v>
      </c>
      <c r="BF57" s="770" t="e">
        <f t="shared" si="17"/>
        <v>#REF!</v>
      </c>
      <c r="BG57" s="771"/>
      <c r="BH57" s="279" t="e">
        <f t="shared" si="18"/>
        <v>#REF!</v>
      </c>
      <c r="BI57" s="772" t="e">
        <f t="shared" si="19"/>
        <v>#REF!</v>
      </c>
      <c r="BJ57" s="773"/>
      <c r="BK57" s="774" t="e">
        <f>IF(BR57&gt;0,CHOOSE(MATCH(RegimeExecucao,{"Unitário","Global"},0),IF($A57="S",BR57/BN57,""),(BR57/BN57)*100),"")</f>
        <v>#REF!</v>
      </c>
      <c r="BL57" s="775"/>
      <c r="BM57" s="776"/>
      <c r="BN57" s="777" t="e">
        <f>IF(BR57&gt;0,CHOOSE(MATCH(RegimeExecucao,{"Unitário","Global"},0),IF($A57="S",ROUND(P57,arredunit),""),ROUND(R57,arredtot)),"")</f>
        <v>#REF!</v>
      </c>
      <c r="BO57" s="778"/>
      <c r="BP57" s="778"/>
      <c r="BQ57" s="779"/>
      <c r="BR57" s="777" t="e">
        <f t="shared" si="1"/>
        <v>#REF!</v>
      </c>
      <c r="BS57" s="778"/>
      <c r="BT57" s="778"/>
      <c r="BU57" s="779"/>
      <c r="BV57" s="780"/>
      <c r="BW57" s="780"/>
      <c r="BX57" s="780"/>
      <c r="BY57" s="780"/>
      <c r="BZ57" s="780"/>
      <c r="CA57" s="781"/>
      <c r="CB57" s="245"/>
      <c r="CC57" s="245"/>
    </row>
    <row r="58" spans="1:81" s="222" customFormat="1" ht="13.8">
      <c r="A58" s="222">
        <f t="shared" si="12"/>
        <v>1</v>
      </c>
      <c r="B58" s="222">
        <f t="shared" ca="1" si="13"/>
        <v>11</v>
      </c>
      <c r="C58" s="222">
        <f t="shared" ca="1" si="2"/>
        <v>8</v>
      </c>
      <c r="D58" s="222">
        <f t="shared" ca="1" si="3"/>
        <v>0</v>
      </c>
      <c r="E58" s="222">
        <f t="shared" ca="1" si="4"/>
        <v>0</v>
      </c>
      <c r="F58" s="222">
        <f t="shared" ca="1" si="5"/>
        <v>0</v>
      </c>
      <c r="G58" s="222">
        <f t="shared" ca="1" si="6"/>
        <v>0</v>
      </c>
      <c r="H58" s="222">
        <f t="shared" ca="1" si="7"/>
        <v>38</v>
      </c>
      <c r="I58" s="222">
        <f t="shared" ca="1" si="8"/>
        <v>11</v>
      </c>
      <c r="J58" s="222">
        <f t="shared" si="9"/>
        <v>0</v>
      </c>
      <c r="K58" s="269" t="str">
        <f>CHOOSE(1+LOG(1+2*($J58=3)+4*($J58=2)+8*($J58=1)+16*(AND($L58&lt;&gt;"",$L58&lt;&gt;0,$J58=0))+32*OR($N58&lt;&gt;"",RegimeExecucao="Global",AND($L58="",$M58="",$N58="")),2),"","Nível 4","Nível 3","Nível 2","Meta","Serviço")</f>
        <v>Meta</v>
      </c>
      <c r="L58" s="324">
        <v>8</v>
      </c>
      <c r="M58" s="325" t="s">
        <v>116</v>
      </c>
      <c r="N58" s="326"/>
      <c r="O58" s="327"/>
      <c r="P58" s="328"/>
      <c r="Q58" s="329">
        <f t="shared" si="14"/>
        <v>11285.48</v>
      </c>
      <c r="R58" s="330">
        <f>SUM(R59,R62)</f>
        <v>11285.48</v>
      </c>
      <c r="S58" s="331">
        <f>Z58+AA58</f>
        <v>0</v>
      </c>
      <c r="T58" s="337">
        <f>AB58</f>
        <v>0</v>
      </c>
      <c r="U58" s="332">
        <f t="shared" si="21"/>
        <v>0</v>
      </c>
      <c r="V58" s="338">
        <f>V59+V62</f>
        <v>5504.3772623115583</v>
      </c>
      <c r="W58" s="339">
        <f>SUM(W59,W62)</f>
        <v>0</v>
      </c>
      <c r="X58" s="340">
        <f t="shared" si="23"/>
        <v>5504.3772623115583</v>
      </c>
      <c r="Y58" s="333"/>
      <c r="Z58" s="334"/>
      <c r="AA58" s="328"/>
      <c r="AB58" s="328"/>
      <c r="AC58" s="328"/>
      <c r="AD58" s="328"/>
      <c r="AE58" s="328"/>
      <c r="AF58" s="328"/>
      <c r="AG58" s="328"/>
      <c r="AH58" s="328"/>
      <c r="AI58" s="328"/>
      <c r="AJ58" s="328"/>
      <c r="AK58" s="335"/>
      <c r="AL58" s="334"/>
      <c r="AM58" s="328"/>
      <c r="AN58" s="328"/>
      <c r="AO58" s="328"/>
      <c r="AP58" s="328"/>
      <c r="AQ58" s="271"/>
      <c r="AR58" s="271"/>
      <c r="AS58" s="271"/>
      <c r="AT58" s="271"/>
      <c r="AU58" s="271"/>
      <c r="AV58" s="271"/>
      <c r="AW58" s="272"/>
      <c r="AX58" s="245"/>
      <c r="AY58" s="273">
        <v>0</v>
      </c>
      <c r="AZ58" s="274">
        <f t="shared" si="15"/>
        <v>0</v>
      </c>
      <c r="BA58" s="275">
        <v>0</v>
      </c>
      <c r="BB58" s="276" t="e">
        <f t="shared" ca="1" si="10"/>
        <v>#REF!</v>
      </c>
      <c r="BC58" s="277" t="e">
        <f t="shared" ca="1" si="16"/>
        <v>#REF!</v>
      </c>
      <c r="BD58" s="278" t="e">
        <f t="shared" ca="1" si="11"/>
        <v>#REF!</v>
      </c>
      <c r="BF58" s="770" t="e">
        <f t="shared" ca="1" si="17"/>
        <v>#REF!</v>
      </c>
      <c r="BG58" s="771"/>
      <c r="BH58" s="279" t="e">
        <f t="shared" ca="1" si="18"/>
        <v>#REF!</v>
      </c>
      <c r="BI58" s="772" t="e">
        <f t="shared" ca="1" si="19"/>
        <v>#REF!</v>
      </c>
      <c r="BJ58" s="773"/>
      <c r="BK58" s="774" t="e">
        <f ca="1">IF(BR58&gt;0,CHOOSE(MATCH(RegimeExecucao,{"Unitário","Global"},0),IF($A58="S",BR58/BN58,""),(BR58/BN58)*100),"")</f>
        <v>#REF!</v>
      </c>
      <c r="BL58" s="775"/>
      <c r="BM58" s="776"/>
      <c r="BN58" s="777" t="e">
        <f ca="1">IF(BR58&gt;0,CHOOSE(MATCH(RegimeExecucao,{"Unitário","Global"},0),IF($A58="S",ROUND(P58,arredunit),""),ROUND(R58,arredtot)),"")</f>
        <v>#REF!</v>
      </c>
      <c r="BO58" s="778"/>
      <c r="BP58" s="778"/>
      <c r="BQ58" s="779"/>
      <c r="BR58" s="777" t="e">
        <f t="shared" ca="1" si="1"/>
        <v>#REF!</v>
      </c>
      <c r="BS58" s="778"/>
      <c r="BT58" s="778"/>
      <c r="BU58" s="779"/>
      <c r="BV58" s="780"/>
      <c r="BW58" s="780"/>
      <c r="BX58" s="780"/>
      <c r="BY58" s="780"/>
      <c r="BZ58" s="780"/>
      <c r="CA58" s="781"/>
      <c r="CB58" s="245"/>
      <c r="CC58" s="245"/>
    </row>
    <row r="59" spans="1:81" s="222" customFormat="1" ht="13.8">
      <c r="A59" s="222">
        <f t="shared" si="12"/>
        <v>2</v>
      </c>
      <c r="B59" s="222">
        <f t="shared" ca="1" si="13"/>
        <v>3</v>
      </c>
      <c r="C59" s="222">
        <f t="shared" ca="1" si="2"/>
        <v>8</v>
      </c>
      <c r="D59" s="222">
        <f t="shared" ca="1" si="3"/>
        <v>1</v>
      </c>
      <c r="E59" s="222">
        <f t="shared" ca="1" si="4"/>
        <v>0</v>
      </c>
      <c r="F59" s="222">
        <f t="shared" ca="1" si="5"/>
        <v>0</v>
      </c>
      <c r="G59" s="222">
        <f t="shared" ca="1" si="6"/>
        <v>0</v>
      </c>
      <c r="H59" s="222">
        <f t="shared" ca="1" si="7"/>
        <v>10</v>
      </c>
      <c r="I59" s="222">
        <f t="shared" ca="1" si="8"/>
        <v>3</v>
      </c>
      <c r="J59" s="222">
        <f t="shared" si="9"/>
        <v>1</v>
      </c>
      <c r="K59" s="269" t="str">
        <f>CHOOSE(1+LOG(1+2*($J59=3)+4*($J59=2)+8*($J59=1)+16*(AND($L59&lt;&gt;"",$L59&lt;&gt;0,$J59=0))+32*OR($N59&lt;&gt;"",RegimeExecucao="Global",AND($L59="",$M59="",$N59="")),2),"","Nível 4","Nível 3","Nível 2","Meta","Serviço")</f>
        <v>Nível 2</v>
      </c>
      <c r="L59" s="336" t="s">
        <v>117</v>
      </c>
      <c r="M59" s="325" t="s">
        <v>118</v>
      </c>
      <c r="N59" s="326"/>
      <c r="O59" s="327"/>
      <c r="P59" s="328"/>
      <c r="Q59" s="329">
        <f t="shared" si="14"/>
        <v>7261.2800000000007</v>
      </c>
      <c r="R59" s="330">
        <f>SUM(R60:R61)</f>
        <v>7261.2800000000007</v>
      </c>
      <c r="S59" s="331">
        <f>Z59+AA59</f>
        <v>0</v>
      </c>
      <c r="T59" s="337">
        <f>AB59</f>
        <v>0</v>
      </c>
      <c r="U59" s="332">
        <f t="shared" si="21"/>
        <v>0</v>
      </c>
      <c r="V59" s="338">
        <f>V60+V61</f>
        <v>1873.3972623115581</v>
      </c>
      <c r="W59" s="339">
        <f>SUM(W60:W61)</f>
        <v>0</v>
      </c>
      <c r="X59" s="340">
        <f t="shared" si="23"/>
        <v>1873.3972623115581</v>
      </c>
      <c r="Y59" s="333"/>
      <c r="Z59" s="334"/>
      <c r="AA59" s="328"/>
      <c r="AB59" s="328"/>
      <c r="AC59" s="328"/>
      <c r="AD59" s="328"/>
      <c r="AE59" s="328"/>
      <c r="AF59" s="328"/>
      <c r="AG59" s="328"/>
      <c r="AH59" s="328"/>
      <c r="AI59" s="328"/>
      <c r="AJ59" s="328"/>
      <c r="AK59" s="335"/>
      <c r="AL59" s="334"/>
      <c r="AM59" s="328"/>
      <c r="AN59" s="328"/>
      <c r="AO59" s="328"/>
      <c r="AP59" s="328"/>
      <c r="AQ59" s="271"/>
      <c r="AR59" s="271"/>
      <c r="AS59" s="271"/>
      <c r="AT59" s="271"/>
      <c r="AU59" s="271"/>
      <c r="AV59" s="271"/>
      <c r="AW59" s="272"/>
      <c r="AX59" s="245"/>
      <c r="AY59" s="273">
        <v>0</v>
      </c>
      <c r="AZ59" s="274">
        <f t="shared" si="15"/>
        <v>0</v>
      </c>
      <c r="BA59" s="275">
        <v>0</v>
      </c>
      <c r="BB59" s="276" t="e">
        <f t="shared" ca="1" si="10"/>
        <v>#REF!</v>
      </c>
      <c r="BC59" s="277" t="e">
        <f t="shared" ca="1" si="16"/>
        <v>#REF!</v>
      </c>
      <c r="BD59" s="278" t="e">
        <f t="shared" ca="1" si="11"/>
        <v>#REF!</v>
      </c>
      <c r="BF59" s="770" t="e">
        <f t="shared" ca="1" si="17"/>
        <v>#REF!</v>
      </c>
      <c r="BG59" s="771"/>
      <c r="BH59" s="279" t="e">
        <f t="shared" ca="1" si="18"/>
        <v>#REF!</v>
      </c>
      <c r="BI59" s="772" t="e">
        <f t="shared" ca="1" si="19"/>
        <v>#REF!</v>
      </c>
      <c r="BJ59" s="773"/>
      <c r="BK59" s="774" t="e">
        <f ca="1">IF(BR59&gt;0,CHOOSE(MATCH(RegimeExecucao,{"Unitário","Global"},0),IF($A59="S",BR59/BN59,""),(BR59/BN59)*100),"")</f>
        <v>#REF!</v>
      </c>
      <c r="BL59" s="775"/>
      <c r="BM59" s="776"/>
      <c r="BN59" s="777" t="e">
        <f ca="1">IF(BR59&gt;0,CHOOSE(MATCH(RegimeExecucao,{"Unitário","Global"},0),IF($A59="S",ROUND(P59,arredunit),""),ROUND(R59,arredtot)),"")</f>
        <v>#REF!</v>
      </c>
      <c r="BO59" s="778"/>
      <c r="BP59" s="778"/>
      <c r="BQ59" s="779"/>
      <c r="BR59" s="777" t="e">
        <f t="shared" ca="1" si="1"/>
        <v>#REF!</v>
      </c>
      <c r="BS59" s="778"/>
      <c r="BT59" s="778"/>
      <c r="BU59" s="779"/>
      <c r="BV59" s="780"/>
      <c r="BW59" s="780"/>
      <c r="BX59" s="780"/>
      <c r="BY59" s="780"/>
      <c r="BZ59" s="780"/>
      <c r="CA59" s="781"/>
      <c r="CB59" s="245"/>
      <c r="CC59" s="245"/>
    </row>
    <row r="60" spans="1:81" s="222" customFormat="1" ht="55.2">
      <c r="A60" s="222" t="str">
        <f t="shared" si="12"/>
        <v>S</v>
      </c>
      <c r="B60" s="222">
        <f t="shared" si="13"/>
        <v>0</v>
      </c>
      <c r="C60" s="222">
        <f t="shared" ca="1" si="2"/>
        <v>8</v>
      </c>
      <c r="D60" s="222">
        <f t="shared" ca="1" si="3"/>
        <v>1</v>
      </c>
      <c r="E60" s="222">
        <f t="shared" ca="1" si="4"/>
        <v>0</v>
      </c>
      <c r="F60" s="222">
        <f t="shared" ca="1" si="5"/>
        <v>0</v>
      </c>
      <c r="G60" s="222">
        <f t="shared" ca="1" si="6"/>
        <v>1</v>
      </c>
      <c r="H60" s="222">
        <f t="shared" ca="1" si="7"/>
        <v>0</v>
      </c>
      <c r="I60" s="222">
        <f t="shared" ca="1" si="8"/>
        <v>0</v>
      </c>
      <c r="J60" s="222">
        <f t="shared" si="9"/>
        <v>2</v>
      </c>
      <c r="K60" s="269" t="s">
        <v>4</v>
      </c>
      <c r="L60" s="336" t="s">
        <v>119</v>
      </c>
      <c r="M60" s="325" t="s">
        <v>120</v>
      </c>
      <c r="N60" s="326" t="s">
        <v>43</v>
      </c>
      <c r="O60" s="327">
        <v>199</v>
      </c>
      <c r="P60" s="328">
        <v>3.8387437185929647</v>
      </c>
      <c r="Q60" s="329">
        <f t="shared" si="14"/>
        <v>0</v>
      </c>
      <c r="R60" s="330">
        <f t="shared" si="20"/>
        <v>763.91</v>
      </c>
      <c r="S60" s="331">
        <f>Z60+AA60+AB60</f>
        <v>51.34</v>
      </c>
      <c r="T60" s="337">
        <f t="shared" ref="T60:T95" si="31">AC60</f>
        <v>0</v>
      </c>
      <c r="U60" s="332">
        <f t="shared" si="21"/>
        <v>51.34</v>
      </c>
      <c r="V60" s="338">
        <f>P60*S60+0.06</f>
        <v>197.14110251256281</v>
      </c>
      <c r="W60" s="339">
        <f t="shared" si="22"/>
        <v>0</v>
      </c>
      <c r="X60" s="340">
        <f t="shared" si="23"/>
        <v>197.14110251256281</v>
      </c>
      <c r="Y60" s="333"/>
      <c r="Z60" s="334"/>
      <c r="AA60" s="328">
        <v>51.34</v>
      </c>
      <c r="AB60" s="328"/>
      <c r="AC60" s="328"/>
      <c r="AD60" s="328"/>
      <c r="AE60" s="328"/>
      <c r="AF60" s="328"/>
      <c r="AG60" s="328"/>
      <c r="AH60" s="328"/>
      <c r="AI60" s="328"/>
      <c r="AJ60" s="328"/>
      <c r="AK60" s="335"/>
      <c r="AL60" s="334"/>
      <c r="AM60" s="328"/>
      <c r="AN60" s="328"/>
      <c r="AO60" s="328"/>
      <c r="AP60" s="328"/>
      <c r="AQ60" s="271"/>
      <c r="AR60" s="271"/>
      <c r="AS60" s="271"/>
      <c r="AT60" s="271"/>
      <c r="AU60" s="271"/>
      <c r="AV60" s="271"/>
      <c r="AW60" s="272"/>
      <c r="AX60" s="245"/>
      <c r="AY60" s="273">
        <v>0</v>
      </c>
      <c r="AZ60" s="274">
        <f t="shared" si="15"/>
        <v>0</v>
      </c>
      <c r="BA60" s="275">
        <v>0</v>
      </c>
      <c r="BB60" s="276" t="e">
        <f t="shared" si="10"/>
        <v>#REF!</v>
      </c>
      <c r="BC60" s="277" t="e">
        <f t="shared" si="16"/>
        <v>#REF!</v>
      </c>
      <c r="BD60" s="278" t="e">
        <f t="shared" si="11"/>
        <v>#REF!</v>
      </c>
      <c r="BF60" s="770" t="e">
        <f t="shared" si="17"/>
        <v>#REF!</v>
      </c>
      <c r="BG60" s="771"/>
      <c r="BH60" s="279" t="e">
        <f t="shared" si="18"/>
        <v>#REF!</v>
      </c>
      <c r="BI60" s="772" t="e">
        <f t="shared" si="19"/>
        <v>#REF!</v>
      </c>
      <c r="BJ60" s="773"/>
      <c r="BK60" s="774" t="e">
        <f>IF(BR60&gt;0,CHOOSE(MATCH(RegimeExecucao,{"Unitário","Global"},0),IF($A60="S",BR60/BN60,""),(BR60/BN60)*100),"")</f>
        <v>#REF!</v>
      </c>
      <c r="BL60" s="775"/>
      <c r="BM60" s="776"/>
      <c r="BN60" s="777" t="e">
        <f>IF(BR60&gt;0,CHOOSE(MATCH(RegimeExecucao,{"Unitário","Global"},0),IF($A60="S",ROUND(P60,arredunit),""),ROUND(R60,arredtot)),"")</f>
        <v>#REF!</v>
      </c>
      <c r="BO60" s="778"/>
      <c r="BP60" s="778"/>
      <c r="BQ60" s="779"/>
      <c r="BR60" s="777" t="e">
        <f t="shared" si="1"/>
        <v>#REF!</v>
      </c>
      <c r="BS60" s="778"/>
      <c r="BT60" s="778"/>
      <c r="BU60" s="779"/>
      <c r="BV60" s="780"/>
      <c r="BW60" s="780"/>
      <c r="BX60" s="780"/>
      <c r="BY60" s="780"/>
      <c r="BZ60" s="780"/>
      <c r="CA60" s="781"/>
      <c r="CB60" s="245"/>
      <c r="CC60" s="245"/>
    </row>
    <row r="61" spans="1:81" s="222" customFormat="1" ht="69">
      <c r="A61" s="222" t="str">
        <f t="shared" si="12"/>
        <v>S</v>
      </c>
      <c r="B61" s="222">
        <f t="shared" si="13"/>
        <v>0</v>
      </c>
      <c r="C61" s="222">
        <f t="shared" ca="1" si="2"/>
        <v>8</v>
      </c>
      <c r="D61" s="222">
        <f t="shared" ca="1" si="3"/>
        <v>1</v>
      </c>
      <c r="E61" s="222">
        <f t="shared" ca="1" si="4"/>
        <v>0</v>
      </c>
      <c r="F61" s="222">
        <f t="shared" ca="1" si="5"/>
        <v>0</v>
      </c>
      <c r="G61" s="222">
        <f t="shared" ca="1" si="6"/>
        <v>2</v>
      </c>
      <c r="H61" s="222">
        <f t="shared" ca="1" si="7"/>
        <v>0</v>
      </c>
      <c r="I61" s="222">
        <f t="shared" ca="1" si="8"/>
        <v>0</v>
      </c>
      <c r="J61" s="222">
        <f t="shared" si="9"/>
        <v>2</v>
      </c>
      <c r="K61" s="269" t="s">
        <v>4</v>
      </c>
      <c r="L61" s="336" t="s">
        <v>121</v>
      </c>
      <c r="M61" s="325" t="s">
        <v>122</v>
      </c>
      <c r="N61" s="326" t="s">
        <v>43</v>
      </c>
      <c r="O61" s="327">
        <v>199</v>
      </c>
      <c r="P61" s="328">
        <v>32.650100502512565</v>
      </c>
      <c r="Q61" s="329">
        <f t="shared" si="14"/>
        <v>0</v>
      </c>
      <c r="R61" s="330">
        <f t="shared" si="20"/>
        <v>6497.3700000000008</v>
      </c>
      <c r="S61" s="331">
        <f>Z61+AA61+AB61</f>
        <v>51.34</v>
      </c>
      <c r="T61" s="337">
        <f t="shared" si="31"/>
        <v>0</v>
      </c>
      <c r="U61" s="332">
        <f t="shared" si="21"/>
        <v>51.34</v>
      </c>
      <c r="V61" s="338">
        <f t="shared" ref="V61:V95" si="32">P61*S61</f>
        <v>1676.2561597989952</v>
      </c>
      <c r="W61" s="339">
        <f t="shared" si="22"/>
        <v>0</v>
      </c>
      <c r="X61" s="340">
        <f t="shared" si="23"/>
        <v>1676.2561597989952</v>
      </c>
      <c r="Y61" s="333"/>
      <c r="Z61" s="334"/>
      <c r="AA61" s="328">
        <v>51.34</v>
      </c>
      <c r="AB61" s="328"/>
      <c r="AC61" s="328"/>
      <c r="AD61" s="328"/>
      <c r="AE61" s="328"/>
      <c r="AF61" s="328"/>
      <c r="AG61" s="328"/>
      <c r="AH61" s="328"/>
      <c r="AI61" s="328"/>
      <c r="AJ61" s="328"/>
      <c r="AK61" s="335"/>
      <c r="AL61" s="334"/>
      <c r="AM61" s="328"/>
      <c r="AN61" s="328"/>
      <c r="AO61" s="328"/>
      <c r="AP61" s="328"/>
      <c r="AQ61" s="271"/>
      <c r="AR61" s="271"/>
      <c r="AS61" s="271"/>
      <c r="AT61" s="271"/>
      <c r="AU61" s="271"/>
      <c r="AV61" s="271"/>
      <c r="AW61" s="272"/>
      <c r="AX61" s="245"/>
      <c r="AY61" s="273">
        <v>0</v>
      </c>
      <c r="AZ61" s="274">
        <f t="shared" si="15"/>
        <v>0</v>
      </c>
      <c r="BA61" s="275">
        <v>0</v>
      </c>
      <c r="BB61" s="276" t="e">
        <f t="shared" si="10"/>
        <v>#REF!</v>
      </c>
      <c r="BC61" s="277" t="e">
        <f t="shared" si="16"/>
        <v>#REF!</v>
      </c>
      <c r="BD61" s="278" t="e">
        <f t="shared" si="11"/>
        <v>#REF!</v>
      </c>
      <c r="BF61" s="770" t="e">
        <f t="shared" si="17"/>
        <v>#REF!</v>
      </c>
      <c r="BG61" s="771"/>
      <c r="BH61" s="279" t="e">
        <f t="shared" si="18"/>
        <v>#REF!</v>
      </c>
      <c r="BI61" s="772" t="e">
        <f t="shared" si="19"/>
        <v>#REF!</v>
      </c>
      <c r="BJ61" s="773"/>
      <c r="BK61" s="774" t="e">
        <f>IF(BR61&gt;0,CHOOSE(MATCH(RegimeExecucao,{"Unitário","Global"},0),IF($A61="S",BR61/BN61,""),(BR61/BN61)*100),"")</f>
        <v>#REF!</v>
      </c>
      <c r="BL61" s="775"/>
      <c r="BM61" s="776"/>
      <c r="BN61" s="777" t="e">
        <f>IF(BR61&gt;0,CHOOSE(MATCH(RegimeExecucao,{"Unitário","Global"},0),IF($A61="S",ROUND(P61,arredunit),""),ROUND(R61,arredtot)),"")</f>
        <v>#REF!</v>
      </c>
      <c r="BO61" s="778"/>
      <c r="BP61" s="778"/>
      <c r="BQ61" s="779"/>
      <c r="BR61" s="777" t="e">
        <f t="shared" si="1"/>
        <v>#REF!</v>
      </c>
      <c r="BS61" s="778"/>
      <c r="BT61" s="778"/>
      <c r="BU61" s="779"/>
      <c r="BV61" s="780"/>
      <c r="BW61" s="780"/>
      <c r="BX61" s="780"/>
      <c r="BY61" s="780"/>
      <c r="BZ61" s="780"/>
      <c r="CA61" s="781"/>
      <c r="CB61" s="245"/>
      <c r="CC61" s="245"/>
    </row>
    <row r="62" spans="1:81" s="222" customFormat="1" ht="13.8">
      <c r="A62" s="222">
        <f t="shared" si="12"/>
        <v>2</v>
      </c>
      <c r="B62" s="222">
        <f t="shared" ca="1" si="13"/>
        <v>7</v>
      </c>
      <c r="C62" s="222">
        <f t="shared" ca="1" si="2"/>
        <v>8</v>
      </c>
      <c r="D62" s="222">
        <f t="shared" ca="1" si="3"/>
        <v>2</v>
      </c>
      <c r="E62" s="222">
        <f t="shared" ca="1" si="4"/>
        <v>0</v>
      </c>
      <c r="F62" s="222">
        <f t="shared" ca="1" si="5"/>
        <v>0</v>
      </c>
      <c r="G62" s="222">
        <f t="shared" ca="1" si="6"/>
        <v>0</v>
      </c>
      <c r="H62" s="222">
        <f t="shared" ca="1" si="7"/>
        <v>7</v>
      </c>
      <c r="I62" s="222" t="e">
        <f t="shared" ca="1" si="8"/>
        <v>#N/A</v>
      </c>
      <c r="J62" s="222">
        <f t="shared" si="9"/>
        <v>1</v>
      </c>
      <c r="K62" s="269" t="str">
        <f>CHOOSE(1+LOG(1+2*($J62=3)+4*($J62=2)+8*($J62=1)+16*(AND($L62&lt;&gt;"",$L62&lt;&gt;0,$J62=0))+32*OR($N62&lt;&gt;"",RegimeExecucao="Global",AND($L62="",$M62="",$N62="")),2),"","Nível 4","Nível 3","Nível 2","Meta","Serviço")</f>
        <v>Nível 2</v>
      </c>
      <c r="L62" s="336" t="s">
        <v>123</v>
      </c>
      <c r="M62" s="325" t="s">
        <v>124</v>
      </c>
      <c r="N62" s="326"/>
      <c r="O62" s="327"/>
      <c r="P62" s="328"/>
      <c r="Q62" s="329">
        <f t="shared" si="14"/>
        <v>4024.2</v>
      </c>
      <c r="R62" s="330">
        <f>SUM(R63:R68)</f>
        <v>4024.2</v>
      </c>
      <c r="S62" s="331">
        <f>Z62+AA62</f>
        <v>0</v>
      </c>
      <c r="T62" s="337">
        <f>AB62</f>
        <v>0</v>
      </c>
      <c r="U62" s="332">
        <f t="shared" si="21"/>
        <v>0</v>
      </c>
      <c r="V62" s="338">
        <f>SUM(V63:V68)</f>
        <v>3630.98</v>
      </c>
      <c r="W62" s="339">
        <f>SUM(W63:W68)</f>
        <v>0</v>
      </c>
      <c r="X62" s="340">
        <f t="shared" si="23"/>
        <v>3630.98</v>
      </c>
      <c r="Y62" s="333"/>
      <c r="Z62" s="334"/>
      <c r="AA62" s="328"/>
      <c r="AB62" s="328"/>
      <c r="AC62" s="328"/>
      <c r="AD62" s="328"/>
      <c r="AE62" s="328"/>
      <c r="AF62" s="328"/>
      <c r="AG62" s="328"/>
      <c r="AH62" s="328"/>
      <c r="AI62" s="328"/>
      <c r="AJ62" s="328"/>
      <c r="AK62" s="335"/>
      <c r="AL62" s="334"/>
      <c r="AM62" s="328"/>
      <c r="AN62" s="328"/>
      <c r="AO62" s="328"/>
      <c r="AP62" s="328"/>
      <c r="AQ62" s="271"/>
      <c r="AR62" s="271"/>
      <c r="AS62" s="271"/>
      <c r="AT62" s="271"/>
      <c r="AU62" s="271"/>
      <c r="AV62" s="271"/>
      <c r="AW62" s="272"/>
      <c r="AX62" s="245"/>
      <c r="AY62" s="273">
        <v>0</v>
      </c>
      <c r="AZ62" s="274">
        <f t="shared" si="15"/>
        <v>0</v>
      </c>
      <c r="BA62" s="275">
        <v>0</v>
      </c>
      <c r="BB62" s="276" t="e">
        <f t="shared" ca="1" si="10"/>
        <v>#REF!</v>
      </c>
      <c r="BC62" s="277" t="e">
        <f t="shared" ca="1" si="16"/>
        <v>#REF!</v>
      </c>
      <c r="BD62" s="278" t="e">
        <f t="shared" ca="1" si="11"/>
        <v>#REF!</v>
      </c>
      <c r="BF62" s="770" t="e">
        <f t="shared" ca="1" si="17"/>
        <v>#REF!</v>
      </c>
      <c r="BG62" s="771"/>
      <c r="BH62" s="279" t="e">
        <f t="shared" ca="1" si="18"/>
        <v>#REF!</v>
      </c>
      <c r="BI62" s="772" t="e">
        <f t="shared" ca="1" si="19"/>
        <v>#REF!</v>
      </c>
      <c r="BJ62" s="773"/>
      <c r="BK62" s="774" t="e">
        <f ca="1">IF(BR62&gt;0,CHOOSE(MATCH(RegimeExecucao,{"Unitário","Global"},0),IF($A62="S",BR62/BN62,""),(BR62/BN62)*100),"")</f>
        <v>#REF!</v>
      </c>
      <c r="BL62" s="775"/>
      <c r="BM62" s="776"/>
      <c r="BN62" s="777" t="e">
        <f ca="1">IF(BR62&gt;0,CHOOSE(MATCH(RegimeExecucao,{"Unitário","Global"},0),IF($A62="S",ROUND(P62,arredunit),""),ROUND(R62,arredtot)),"")</f>
        <v>#REF!</v>
      </c>
      <c r="BO62" s="778"/>
      <c r="BP62" s="778"/>
      <c r="BQ62" s="779"/>
      <c r="BR62" s="777" t="e">
        <f t="shared" ca="1" si="1"/>
        <v>#REF!</v>
      </c>
      <c r="BS62" s="778"/>
      <c r="BT62" s="778"/>
      <c r="BU62" s="779"/>
      <c r="BV62" s="780"/>
      <c r="BW62" s="780"/>
      <c r="BX62" s="780"/>
      <c r="BY62" s="780"/>
      <c r="BZ62" s="780"/>
      <c r="CA62" s="781"/>
      <c r="CB62" s="245"/>
      <c r="CC62" s="245"/>
    </row>
    <row r="63" spans="1:81" s="222" customFormat="1" ht="55.2">
      <c r="A63" s="222" t="str">
        <f t="shared" si="12"/>
        <v>S</v>
      </c>
      <c r="B63" s="222">
        <f t="shared" si="13"/>
        <v>0</v>
      </c>
      <c r="C63" s="222">
        <f t="shared" ca="1" si="2"/>
        <v>8</v>
      </c>
      <c r="D63" s="222">
        <f t="shared" ca="1" si="3"/>
        <v>2</v>
      </c>
      <c r="E63" s="222">
        <f t="shared" ca="1" si="4"/>
        <v>0</v>
      </c>
      <c r="F63" s="222">
        <f t="shared" ca="1" si="5"/>
        <v>0</v>
      </c>
      <c r="G63" s="222">
        <f t="shared" ca="1" si="6"/>
        <v>1</v>
      </c>
      <c r="H63" s="222">
        <f t="shared" ca="1" si="7"/>
        <v>0</v>
      </c>
      <c r="I63" s="222">
        <f t="shared" ca="1" si="8"/>
        <v>0</v>
      </c>
      <c r="J63" s="222">
        <f t="shared" si="9"/>
        <v>2</v>
      </c>
      <c r="K63" s="269" t="s">
        <v>4</v>
      </c>
      <c r="L63" s="336" t="s">
        <v>125</v>
      </c>
      <c r="M63" s="325" t="s">
        <v>126</v>
      </c>
      <c r="N63" s="326" t="s">
        <v>43</v>
      </c>
      <c r="O63" s="327">
        <v>27.000975881778892</v>
      </c>
      <c r="P63" s="328">
        <v>71.73</v>
      </c>
      <c r="Q63" s="329">
        <f t="shared" si="14"/>
        <v>0</v>
      </c>
      <c r="R63" s="330">
        <f t="shared" si="20"/>
        <v>1936.78</v>
      </c>
      <c r="S63" s="331">
        <f t="shared" ref="S63:S95" si="33">Z63+AA63+AB63</f>
        <v>27</v>
      </c>
      <c r="T63" s="337">
        <f t="shared" si="31"/>
        <v>0</v>
      </c>
      <c r="U63" s="332">
        <f t="shared" si="21"/>
        <v>27</v>
      </c>
      <c r="V63" s="338">
        <f>P63*S63+0.07</f>
        <v>1936.78</v>
      </c>
      <c r="W63" s="339">
        <f t="shared" si="22"/>
        <v>0</v>
      </c>
      <c r="X63" s="340">
        <f t="shared" si="23"/>
        <v>1936.78</v>
      </c>
      <c r="Y63" s="333"/>
      <c r="Z63" s="334">
        <v>27</v>
      </c>
      <c r="AA63" s="328"/>
      <c r="AB63" s="328"/>
      <c r="AC63" s="328"/>
      <c r="AD63" s="328"/>
      <c r="AE63" s="328"/>
      <c r="AF63" s="328"/>
      <c r="AG63" s="328"/>
      <c r="AH63" s="328"/>
      <c r="AI63" s="328"/>
      <c r="AJ63" s="328"/>
      <c r="AK63" s="335"/>
      <c r="AL63" s="334"/>
      <c r="AM63" s="328"/>
      <c r="AN63" s="328"/>
      <c r="AO63" s="328"/>
      <c r="AP63" s="328"/>
      <c r="AQ63" s="271"/>
      <c r="AR63" s="271"/>
      <c r="AS63" s="271"/>
      <c r="AT63" s="271"/>
      <c r="AU63" s="271"/>
      <c r="AV63" s="271"/>
      <c r="AW63" s="272"/>
      <c r="AX63" s="245"/>
      <c r="AY63" s="273">
        <v>0</v>
      </c>
      <c r="AZ63" s="274">
        <f t="shared" si="15"/>
        <v>0</v>
      </c>
      <c r="BA63" s="275">
        <v>0</v>
      </c>
      <c r="BB63" s="276" t="e">
        <f t="shared" si="10"/>
        <v>#REF!</v>
      </c>
      <c r="BC63" s="277" t="e">
        <f t="shared" si="16"/>
        <v>#REF!</v>
      </c>
      <c r="BD63" s="278" t="e">
        <f t="shared" si="11"/>
        <v>#REF!</v>
      </c>
      <c r="BF63" s="770" t="e">
        <f t="shared" si="17"/>
        <v>#REF!</v>
      </c>
      <c r="BG63" s="771"/>
      <c r="BH63" s="279" t="e">
        <f t="shared" si="18"/>
        <v>#REF!</v>
      </c>
      <c r="BI63" s="772" t="e">
        <f t="shared" si="19"/>
        <v>#REF!</v>
      </c>
      <c r="BJ63" s="773"/>
      <c r="BK63" s="774" t="e">
        <f>IF(BR63&gt;0,CHOOSE(MATCH(RegimeExecucao,{"Unitário","Global"},0),IF($A63="S",BR63/BN63,""),(BR63/BN63)*100),"")</f>
        <v>#REF!</v>
      </c>
      <c r="BL63" s="775"/>
      <c r="BM63" s="776"/>
      <c r="BN63" s="777" t="e">
        <f>IF(BR63&gt;0,CHOOSE(MATCH(RegimeExecucao,{"Unitário","Global"},0),IF($A63="S",ROUND(P63,arredunit),""),ROUND(R63,arredtot)),"")</f>
        <v>#REF!</v>
      </c>
      <c r="BO63" s="778"/>
      <c r="BP63" s="778"/>
      <c r="BQ63" s="779"/>
      <c r="BR63" s="777" t="e">
        <f t="shared" si="1"/>
        <v>#REF!</v>
      </c>
      <c r="BS63" s="778"/>
      <c r="BT63" s="778"/>
      <c r="BU63" s="779"/>
      <c r="BV63" s="780"/>
      <c r="BW63" s="780"/>
      <c r="BX63" s="780"/>
      <c r="BY63" s="780"/>
      <c r="BZ63" s="780"/>
      <c r="CA63" s="781"/>
      <c r="CB63" s="245"/>
      <c r="CC63" s="245"/>
    </row>
    <row r="64" spans="1:81" s="222" customFormat="1" ht="27.6">
      <c r="A64" s="222" t="str">
        <f t="shared" si="12"/>
        <v>S</v>
      </c>
      <c r="B64" s="222">
        <f t="shared" si="13"/>
        <v>0</v>
      </c>
      <c r="C64" s="222">
        <f t="shared" ca="1" si="2"/>
        <v>8</v>
      </c>
      <c r="D64" s="222">
        <f t="shared" ca="1" si="3"/>
        <v>2</v>
      </c>
      <c r="E64" s="222">
        <f t="shared" ca="1" si="4"/>
        <v>0</v>
      </c>
      <c r="F64" s="222">
        <f t="shared" ca="1" si="5"/>
        <v>0</v>
      </c>
      <c r="G64" s="222">
        <f t="shared" ca="1" si="6"/>
        <v>2</v>
      </c>
      <c r="H64" s="222">
        <f t="shared" ca="1" si="7"/>
        <v>0</v>
      </c>
      <c r="I64" s="222">
        <f t="shared" ca="1" si="8"/>
        <v>0</v>
      </c>
      <c r="J64" s="222">
        <f t="shared" si="9"/>
        <v>2</v>
      </c>
      <c r="K64" s="269" t="s">
        <v>4</v>
      </c>
      <c r="L64" s="336" t="s">
        <v>127</v>
      </c>
      <c r="M64" s="325" t="s">
        <v>128</v>
      </c>
      <c r="N64" s="326" t="s">
        <v>43</v>
      </c>
      <c r="O64" s="327">
        <v>27</v>
      </c>
      <c r="P64" s="328">
        <v>3.1022222222222222</v>
      </c>
      <c r="Q64" s="329">
        <f t="shared" si="14"/>
        <v>0</v>
      </c>
      <c r="R64" s="330">
        <f t="shared" si="20"/>
        <v>83.76</v>
      </c>
      <c r="S64" s="331">
        <f t="shared" si="33"/>
        <v>27</v>
      </c>
      <c r="T64" s="337">
        <f t="shared" si="31"/>
        <v>0</v>
      </c>
      <c r="U64" s="332">
        <f t="shared" si="21"/>
        <v>27</v>
      </c>
      <c r="V64" s="338">
        <f t="shared" si="32"/>
        <v>83.76</v>
      </c>
      <c r="W64" s="339">
        <f t="shared" si="22"/>
        <v>0</v>
      </c>
      <c r="X64" s="340">
        <f t="shared" si="23"/>
        <v>83.76</v>
      </c>
      <c r="Y64" s="333"/>
      <c r="Z64" s="334">
        <v>27</v>
      </c>
      <c r="AA64" s="328"/>
      <c r="AB64" s="328"/>
      <c r="AC64" s="328"/>
      <c r="AD64" s="328"/>
      <c r="AE64" s="328"/>
      <c r="AF64" s="328"/>
      <c r="AG64" s="328"/>
      <c r="AH64" s="328"/>
      <c r="AI64" s="328"/>
      <c r="AJ64" s="328"/>
      <c r="AK64" s="335"/>
      <c r="AL64" s="334"/>
      <c r="AM64" s="328"/>
      <c r="AN64" s="328"/>
      <c r="AO64" s="328"/>
      <c r="AP64" s="328"/>
      <c r="AQ64" s="271"/>
      <c r="AR64" s="271"/>
      <c r="AS64" s="271"/>
      <c r="AT64" s="271"/>
      <c r="AU64" s="271"/>
      <c r="AV64" s="271"/>
      <c r="AW64" s="272"/>
      <c r="AX64" s="245"/>
      <c r="AY64" s="273">
        <v>0</v>
      </c>
      <c r="AZ64" s="274">
        <f t="shared" si="15"/>
        <v>0</v>
      </c>
      <c r="BA64" s="275">
        <v>0</v>
      </c>
      <c r="BB64" s="276" t="e">
        <f t="shared" si="10"/>
        <v>#REF!</v>
      </c>
      <c r="BC64" s="277" t="e">
        <f t="shared" si="16"/>
        <v>#REF!</v>
      </c>
      <c r="BD64" s="278" t="e">
        <f t="shared" si="11"/>
        <v>#REF!</v>
      </c>
      <c r="BF64" s="770" t="e">
        <f t="shared" si="17"/>
        <v>#REF!</v>
      </c>
      <c r="BG64" s="771"/>
      <c r="BH64" s="279" t="e">
        <f t="shared" si="18"/>
        <v>#REF!</v>
      </c>
      <c r="BI64" s="772" t="e">
        <f t="shared" si="19"/>
        <v>#REF!</v>
      </c>
      <c r="BJ64" s="773"/>
      <c r="BK64" s="774" t="e">
        <f>IF(BR64&gt;0,CHOOSE(MATCH(RegimeExecucao,{"Unitário","Global"},0),IF($A64="S",BR64/BN64,""),(BR64/BN64)*100),"")</f>
        <v>#REF!</v>
      </c>
      <c r="BL64" s="775"/>
      <c r="BM64" s="776"/>
      <c r="BN64" s="777" t="e">
        <f>IF(BR64&gt;0,CHOOSE(MATCH(RegimeExecucao,{"Unitário","Global"},0),IF($A64="S",ROUND(P64,arredunit),""),ROUND(R64,arredtot)),"")</f>
        <v>#REF!</v>
      </c>
      <c r="BO64" s="778"/>
      <c r="BP64" s="778"/>
      <c r="BQ64" s="779"/>
      <c r="BR64" s="777" t="e">
        <f t="shared" si="1"/>
        <v>#REF!</v>
      </c>
      <c r="BS64" s="778"/>
      <c r="BT64" s="778"/>
      <c r="BU64" s="779"/>
      <c r="BV64" s="780"/>
      <c r="BW64" s="780"/>
      <c r="BX64" s="780"/>
      <c r="BY64" s="780"/>
      <c r="BZ64" s="780"/>
      <c r="CA64" s="781"/>
      <c r="CB64" s="245"/>
      <c r="CC64" s="245"/>
    </row>
    <row r="65" spans="1:81" s="222" customFormat="1" ht="36" customHeight="1">
      <c r="A65" s="222" t="str">
        <f t="shared" si="12"/>
        <v>S</v>
      </c>
      <c r="B65" s="222">
        <f t="shared" si="13"/>
        <v>0</v>
      </c>
      <c r="C65" s="222">
        <f t="shared" ca="1" si="2"/>
        <v>8</v>
      </c>
      <c r="D65" s="222">
        <f t="shared" ca="1" si="3"/>
        <v>2</v>
      </c>
      <c r="E65" s="222">
        <f t="shared" ca="1" si="4"/>
        <v>0</v>
      </c>
      <c r="F65" s="222">
        <f t="shared" ca="1" si="5"/>
        <v>0</v>
      </c>
      <c r="G65" s="222">
        <f t="shared" ca="1" si="6"/>
        <v>3</v>
      </c>
      <c r="H65" s="222">
        <f t="shared" ca="1" si="7"/>
        <v>0</v>
      </c>
      <c r="I65" s="222">
        <f t="shared" ca="1" si="8"/>
        <v>0</v>
      </c>
      <c r="J65" s="222">
        <f t="shared" si="9"/>
        <v>2</v>
      </c>
      <c r="K65" s="269" t="s">
        <v>4</v>
      </c>
      <c r="L65" s="336" t="s">
        <v>129</v>
      </c>
      <c r="M65" s="325" t="s">
        <v>130</v>
      </c>
      <c r="N65" s="326" t="s">
        <v>43</v>
      </c>
      <c r="O65" s="327">
        <v>27</v>
      </c>
      <c r="P65" s="328">
        <v>21.237777777777779</v>
      </c>
      <c r="Q65" s="329">
        <f t="shared" si="14"/>
        <v>0</v>
      </c>
      <c r="R65" s="330">
        <f t="shared" si="20"/>
        <v>573.42000000000007</v>
      </c>
      <c r="S65" s="331">
        <f t="shared" si="33"/>
        <v>27</v>
      </c>
      <c r="T65" s="337">
        <f t="shared" si="31"/>
        <v>0</v>
      </c>
      <c r="U65" s="332">
        <f t="shared" si="21"/>
        <v>27</v>
      </c>
      <c r="V65" s="338">
        <f t="shared" si="32"/>
        <v>573.42000000000007</v>
      </c>
      <c r="W65" s="339">
        <f t="shared" si="22"/>
        <v>0</v>
      </c>
      <c r="X65" s="340">
        <f t="shared" si="23"/>
        <v>573.42000000000007</v>
      </c>
      <c r="Y65" s="333"/>
      <c r="Z65" s="334">
        <v>27</v>
      </c>
      <c r="AA65" s="328"/>
      <c r="AB65" s="328"/>
      <c r="AC65" s="328"/>
      <c r="AD65" s="328"/>
      <c r="AE65" s="328"/>
      <c r="AF65" s="328"/>
      <c r="AG65" s="328"/>
      <c r="AH65" s="328"/>
      <c r="AI65" s="328"/>
      <c r="AJ65" s="328"/>
      <c r="AK65" s="335"/>
      <c r="AL65" s="334"/>
      <c r="AM65" s="328"/>
      <c r="AN65" s="328"/>
      <c r="AO65" s="328"/>
      <c r="AP65" s="328"/>
      <c r="AQ65" s="271"/>
      <c r="AR65" s="271"/>
      <c r="AS65" s="271"/>
      <c r="AT65" s="271"/>
      <c r="AU65" s="271"/>
      <c r="AV65" s="271"/>
      <c r="AW65" s="272"/>
      <c r="AX65" s="245"/>
      <c r="AY65" s="273">
        <v>0</v>
      </c>
      <c r="AZ65" s="274">
        <f t="shared" si="15"/>
        <v>0</v>
      </c>
      <c r="BA65" s="275">
        <v>0</v>
      </c>
      <c r="BB65" s="276" t="e">
        <f t="shared" si="10"/>
        <v>#REF!</v>
      </c>
      <c r="BC65" s="277" t="e">
        <f t="shared" si="16"/>
        <v>#REF!</v>
      </c>
      <c r="BD65" s="278" t="e">
        <f t="shared" si="11"/>
        <v>#REF!</v>
      </c>
      <c r="BF65" s="770" t="e">
        <f t="shared" si="17"/>
        <v>#REF!</v>
      </c>
      <c r="BG65" s="771"/>
      <c r="BH65" s="279" t="e">
        <f t="shared" si="18"/>
        <v>#REF!</v>
      </c>
      <c r="BI65" s="772" t="e">
        <f t="shared" si="19"/>
        <v>#REF!</v>
      </c>
      <c r="BJ65" s="773"/>
      <c r="BK65" s="774" t="e">
        <f>IF(BR65&gt;0,CHOOSE(MATCH(RegimeExecucao,{"Unitário","Global"},0),IF($A65="S",BR65/BN65,""),(BR65/BN65)*100),"")</f>
        <v>#REF!</v>
      </c>
      <c r="BL65" s="775"/>
      <c r="BM65" s="776"/>
      <c r="BN65" s="777" t="e">
        <f>IF(BR65&gt;0,CHOOSE(MATCH(RegimeExecucao,{"Unitário","Global"},0),IF($A65="S",ROUND(P65,arredunit),""),ROUND(R65,arredtot)),"")</f>
        <v>#REF!</v>
      </c>
      <c r="BO65" s="778"/>
      <c r="BP65" s="778"/>
      <c r="BQ65" s="779"/>
      <c r="BR65" s="777" t="e">
        <f t="shared" si="1"/>
        <v>#REF!</v>
      </c>
      <c r="BS65" s="778"/>
      <c r="BT65" s="778"/>
      <c r="BU65" s="779"/>
      <c r="BV65" s="780"/>
      <c r="BW65" s="780"/>
      <c r="BX65" s="780"/>
      <c r="BY65" s="780"/>
      <c r="BZ65" s="780"/>
      <c r="CA65" s="781"/>
      <c r="CB65" s="245"/>
      <c r="CC65" s="245"/>
    </row>
    <row r="66" spans="1:81" s="222" customFormat="1" ht="41.4">
      <c r="A66" s="222" t="str">
        <f t="shared" si="12"/>
        <v>S</v>
      </c>
      <c r="B66" s="222">
        <f t="shared" si="13"/>
        <v>0</v>
      </c>
      <c r="C66" s="222">
        <f t="shared" ca="1" si="2"/>
        <v>8</v>
      </c>
      <c r="D66" s="222">
        <f t="shared" ca="1" si="3"/>
        <v>2</v>
      </c>
      <c r="E66" s="222">
        <f t="shared" ca="1" si="4"/>
        <v>0</v>
      </c>
      <c r="F66" s="222">
        <f t="shared" ca="1" si="5"/>
        <v>0</v>
      </c>
      <c r="G66" s="222">
        <f t="shared" ca="1" si="6"/>
        <v>4</v>
      </c>
      <c r="H66" s="222">
        <f t="shared" ca="1" si="7"/>
        <v>0</v>
      </c>
      <c r="I66" s="222">
        <f t="shared" ca="1" si="8"/>
        <v>0</v>
      </c>
      <c r="J66" s="222">
        <f t="shared" si="9"/>
        <v>2</v>
      </c>
      <c r="K66" s="269" t="s">
        <v>4</v>
      </c>
      <c r="L66" s="336" t="s">
        <v>131</v>
      </c>
      <c r="M66" s="325" t="s">
        <v>132</v>
      </c>
      <c r="N66" s="326" t="s">
        <v>59</v>
      </c>
      <c r="O66" s="327">
        <v>50</v>
      </c>
      <c r="P66" s="328">
        <v>5.4366000000000003</v>
      </c>
      <c r="Q66" s="329">
        <f t="shared" si="14"/>
        <v>0</v>
      </c>
      <c r="R66" s="330">
        <f t="shared" si="20"/>
        <v>271.83000000000004</v>
      </c>
      <c r="S66" s="331">
        <f t="shared" si="33"/>
        <v>0</v>
      </c>
      <c r="T66" s="337">
        <f t="shared" si="31"/>
        <v>0</v>
      </c>
      <c r="U66" s="332">
        <f t="shared" si="21"/>
        <v>0</v>
      </c>
      <c r="V66" s="338">
        <f t="shared" si="32"/>
        <v>0</v>
      </c>
      <c r="W66" s="339">
        <f t="shared" si="22"/>
        <v>0</v>
      </c>
      <c r="X66" s="340">
        <f t="shared" si="23"/>
        <v>0</v>
      </c>
      <c r="Y66" s="333"/>
      <c r="Z66" s="334"/>
      <c r="AA66" s="328"/>
      <c r="AB66" s="328"/>
      <c r="AC66" s="328"/>
      <c r="AD66" s="328"/>
      <c r="AE66" s="328"/>
      <c r="AF66" s="328"/>
      <c r="AG66" s="328"/>
      <c r="AH66" s="328"/>
      <c r="AI66" s="328"/>
      <c r="AJ66" s="328"/>
      <c r="AK66" s="335"/>
      <c r="AL66" s="334"/>
      <c r="AM66" s="328"/>
      <c r="AN66" s="328"/>
      <c r="AO66" s="328"/>
      <c r="AP66" s="328"/>
      <c r="AQ66" s="271"/>
      <c r="AR66" s="271"/>
      <c r="AS66" s="271"/>
      <c r="AT66" s="271"/>
      <c r="AU66" s="271"/>
      <c r="AV66" s="271"/>
      <c r="AW66" s="272"/>
      <c r="AX66" s="245"/>
      <c r="AY66" s="273">
        <v>0</v>
      </c>
      <c r="AZ66" s="274">
        <f t="shared" si="15"/>
        <v>0</v>
      </c>
      <c r="BA66" s="275">
        <v>0</v>
      </c>
      <c r="BB66" s="276" t="e">
        <f t="shared" si="10"/>
        <v>#REF!</v>
      </c>
      <c r="BC66" s="277" t="e">
        <f t="shared" si="16"/>
        <v>#REF!</v>
      </c>
      <c r="BD66" s="278" t="e">
        <f t="shared" si="11"/>
        <v>#REF!</v>
      </c>
      <c r="BF66" s="770" t="e">
        <f t="shared" si="17"/>
        <v>#REF!</v>
      </c>
      <c r="BG66" s="771"/>
      <c r="BH66" s="279" t="e">
        <f t="shared" si="18"/>
        <v>#REF!</v>
      </c>
      <c r="BI66" s="772" t="e">
        <f t="shared" si="19"/>
        <v>#REF!</v>
      </c>
      <c r="BJ66" s="773"/>
      <c r="BK66" s="774" t="e">
        <f>IF(BR66&gt;0,CHOOSE(MATCH(RegimeExecucao,{"Unitário","Global"},0),IF($A66="S",BR66/BN66,""),(BR66/BN66)*100),"")</f>
        <v>#REF!</v>
      </c>
      <c r="BL66" s="775"/>
      <c r="BM66" s="776"/>
      <c r="BN66" s="777" t="e">
        <f>IF(BR66&gt;0,CHOOSE(MATCH(RegimeExecucao,{"Unitário","Global"},0),IF($A66="S",ROUND(P66,arredunit),""),ROUND(R66,arredtot)),"")</f>
        <v>#REF!</v>
      </c>
      <c r="BO66" s="778"/>
      <c r="BP66" s="778"/>
      <c r="BQ66" s="779"/>
      <c r="BR66" s="777" t="e">
        <f t="shared" si="1"/>
        <v>#REF!</v>
      </c>
      <c r="BS66" s="778"/>
      <c r="BT66" s="778"/>
      <c r="BU66" s="779"/>
      <c r="BV66" s="780"/>
      <c r="BW66" s="780"/>
      <c r="BX66" s="780"/>
      <c r="BY66" s="780"/>
      <c r="BZ66" s="780"/>
      <c r="CA66" s="781"/>
      <c r="CB66" s="245"/>
      <c r="CC66" s="245"/>
    </row>
    <row r="67" spans="1:81" s="222" customFormat="1" ht="27.6">
      <c r="A67" s="222" t="str">
        <f t="shared" si="12"/>
        <v>S</v>
      </c>
      <c r="B67" s="222">
        <f t="shared" si="13"/>
        <v>0</v>
      </c>
      <c r="C67" s="222">
        <f t="shared" ca="1" si="2"/>
        <v>8</v>
      </c>
      <c r="D67" s="222">
        <f t="shared" ca="1" si="3"/>
        <v>2</v>
      </c>
      <c r="E67" s="222">
        <f t="shared" ca="1" si="4"/>
        <v>0</v>
      </c>
      <c r="F67" s="222">
        <f t="shared" ca="1" si="5"/>
        <v>0</v>
      </c>
      <c r="G67" s="222">
        <f t="shared" ca="1" si="6"/>
        <v>5</v>
      </c>
      <c r="H67" s="222">
        <f t="shared" ca="1" si="7"/>
        <v>0</v>
      </c>
      <c r="I67" s="222">
        <f t="shared" ca="1" si="8"/>
        <v>0</v>
      </c>
      <c r="J67" s="222">
        <f t="shared" si="9"/>
        <v>2</v>
      </c>
      <c r="K67" s="269" t="s">
        <v>4</v>
      </c>
      <c r="L67" s="336" t="s">
        <v>133</v>
      </c>
      <c r="M67" s="325" t="s">
        <v>134</v>
      </c>
      <c r="N67" s="326" t="s">
        <v>59</v>
      </c>
      <c r="O67" s="327">
        <v>50</v>
      </c>
      <c r="P67" s="328">
        <v>2.4278</v>
      </c>
      <c r="Q67" s="329">
        <f t="shared" si="14"/>
        <v>0</v>
      </c>
      <c r="R67" s="330">
        <f t="shared" si="20"/>
        <v>121.39</v>
      </c>
      <c r="S67" s="331">
        <f t="shared" si="33"/>
        <v>0</v>
      </c>
      <c r="T67" s="337">
        <f t="shared" si="31"/>
        <v>0</v>
      </c>
      <c r="U67" s="332">
        <f t="shared" si="21"/>
        <v>0</v>
      </c>
      <c r="V67" s="338">
        <f t="shared" si="32"/>
        <v>0</v>
      </c>
      <c r="W67" s="339">
        <f t="shared" si="22"/>
        <v>0</v>
      </c>
      <c r="X67" s="340">
        <f t="shared" si="23"/>
        <v>0</v>
      </c>
      <c r="Y67" s="333"/>
      <c r="Z67" s="334"/>
      <c r="AA67" s="328"/>
      <c r="AB67" s="328"/>
      <c r="AC67" s="328"/>
      <c r="AD67" s="328"/>
      <c r="AE67" s="328"/>
      <c r="AF67" s="328"/>
      <c r="AG67" s="328"/>
      <c r="AH67" s="328"/>
      <c r="AI67" s="328"/>
      <c r="AJ67" s="328"/>
      <c r="AK67" s="335"/>
      <c r="AL67" s="334"/>
      <c r="AM67" s="328"/>
      <c r="AN67" s="328"/>
      <c r="AO67" s="328"/>
      <c r="AP67" s="328"/>
      <c r="AQ67" s="271"/>
      <c r="AR67" s="271"/>
      <c r="AS67" s="271"/>
      <c r="AT67" s="271"/>
      <c r="AU67" s="271"/>
      <c r="AV67" s="271"/>
      <c r="AW67" s="272"/>
      <c r="AX67" s="245"/>
      <c r="AY67" s="273">
        <v>0</v>
      </c>
      <c r="AZ67" s="274">
        <f t="shared" si="15"/>
        <v>0</v>
      </c>
      <c r="BA67" s="275">
        <v>0</v>
      </c>
      <c r="BB67" s="276" t="e">
        <f t="shared" si="10"/>
        <v>#REF!</v>
      </c>
      <c r="BC67" s="277" t="e">
        <f t="shared" si="16"/>
        <v>#REF!</v>
      </c>
      <c r="BD67" s="278" t="e">
        <f t="shared" si="11"/>
        <v>#REF!</v>
      </c>
      <c r="BF67" s="770" t="e">
        <f t="shared" si="17"/>
        <v>#REF!</v>
      </c>
      <c r="BG67" s="771"/>
      <c r="BH67" s="279" t="e">
        <f t="shared" si="18"/>
        <v>#REF!</v>
      </c>
      <c r="BI67" s="772" t="e">
        <f t="shared" si="19"/>
        <v>#REF!</v>
      </c>
      <c r="BJ67" s="773"/>
      <c r="BK67" s="774" t="e">
        <f>IF(BR67&gt;0,CHOOSE(MATCH(RegimeExecucao,{"Unitário","Global"},0),IF($A67="S",BR67/BN67,""),(BR67/BN67)*100),"")</f>
        <v>#REF!</v>
      </c>
      <c r="BL67" s="775"/>
      <c r="BM67" s="776"/>
      <c r="BN67" s="777" t="e">
        <f>IF(BR67&gt;0,CHOOSE(MATCH(RegimeExecucao,{"Unitário","Global"},0),IF($A67="S",ROUND(P67,arredunit),""),ROUND(R67,arredtot)),"")</f>
        <v>#REF!</v>
      </c>
      <c r="BO67" s="778"/>
      <c r="BP67" s="778"/>
      <c r="BQ67" s="779"/>
      <c r="BR67" s="777" t="e">
        <f t="shared" si="1"/>
        <v>#REF!</v>
      </c>
      <c r="BS67" s="778"/>
      <c r="BT67" s="778"/>
      <c r="BU67" s="779"/>
      <c r="BV67" s="780"/>
      <c r="BW67" s="780"/>
      <c r="BX67" s="780"/>
      <c r="BY67" s="780"/>
      <c r="BZ67" s="780"/>
      <c r="CA67" s="781"/>
      <c r="CB67" s="245"/>
      <c r="CC67" s="245"/>
    </row>
    <row r="68" spans="1:81" s="222" customFormat="1" ht="55.2">
      <c r="A68" s="222" t="str">
        <f t="shared" si="12"/>
        <v>S</v>
      </c>
      <c r="B68" s="222">
        <f t="shared" si="13"/>
        <v>0</v>
      </c>
      <c r="C68" s="222">
        <f t="shared" ca="1" si="2"/>
        <v>8</v>
      </c>
      <c r="D68" s="222">
        <f t="shared" ca="1" si="3"/>
        <v>2</v>
      </c>
      <c r="E68" s="222">
        <f t="shared" ca="1" si="4"/>
        <v>0</v>
      </c>
      <c r="F68" s="222">
        <f t="shared" ca="1" si="5"/>
        <v>0</v>
      </c>
      <c r="G68" s="222">
        <f t="shared" ca="1" si="6"/>
        <v>6</v>
      </c>
      <c r="H68" s="222">
        <f t="shared" ca="1" si="7"/>
        <v>0</v>
      </c>
      <c r="I68" s="222">
        <f t="shared" ca="1" si="8"/>
        <v>0</v>
      </c>
      <c r="J68" s="222">
        <f t="shared" si="9"/>
        <v>2</v>
      </c>
      <c r="K68" s="269" t="s">
        <v>4</v>
      </c>
      <c r="L68" s="336" t="s">
        <v>135</v>
      </c>
      <c r="M68" s="325" t="s">
        <v>136</v>
      </c>
      <c r="N68" s="326" t="s">
        <v>43</v>
      </c>
      <c r="O68" s="327">
        <v>26.998698255662589</v>
      </c>
      <c r="P68" s="328">
        <v>38.409999999999997</v>
      </c>
      <c r="Q68" s="329">
        <f t="shared" si="14"/>
        <v>0</v>
      </c>
      <c r="R68" s="330">
        <f t="shared" si="20"/>
        <v>1037.02</v>
      </c>
      <c r="S68" s="331">
        <f t="shared" si="33"/>
        <v>27</v>
      </c>
      <c r="T68" s="337">
        <f t="shared" si="31"/>
        <v>0</v>
      </c>
      <c r="U68" s="332">
        <f t="shared" si="21"/>
        <v>27</v>
      </c>
      <c r="V68" s="338">
        <f>P68*S68-0.05</f>
        <v>1037.02</v>
      </c>
      <c r="W68" s="339">
        <f t="shared" si="22"/>
        <v>0</v>
      </c>
      <c r="X68" s="340">
        <f t="shared" si="23"/>
        <v>1037.02</v>
      </c>
      <c r="Y68" s="333"/>
      <c r="Z68" s="334">
        <v>27</v>
      </c>
      <c r="AA68" s="328"/>
      <c r="AB68" s="328"/>
      <c r="AC68" s="328"/>
      <c r="AD68" s="328"/>
      <c r="AE68" s="328"/>
      <c r="AF68" s="328"/>
      <c r="AG68" s="328"/>
      <c r="AH68" s="328"/>
      <c r="AI68" s="328"/>
      <c r="AJ68" s="328"/>
      <c r="AK68" s="335"/>
      <c r="AL68" s="334"/>
      <c r="AM68" s="328"/>
      <c r="AN68" s="328"/>
      <c r="AO68" s="328"/>
      <c r="AP68" s="328"/>
      <c r="AQ68" s="271"/>
      <c r="AR68" s="271"/>
      <c r="AS68" s="271"/>
      <c r="AT68" s="271"/>
      <c r="AU68" s="271"/>
      <c r="AV68" s="271"/>
      <c r="AW68" s="272"/>
      <c r="AX68" s="245"/>
      <c r="AY68" s="273">
        <v>0</v>
      </c>
      <c r="AZ68" s="274">
        <f t="shared" si="15"/>
        <v>0</v>
      </c>
      <c r="BA68" s="275">
        <v>0</v>
      </c>
      <c r="BB68" s="276" t="e">
        <f t="shared" si="10"/>
        <v>#REF!</v>
      </c>
      <c r="BC68" s="277" t="e">
        <f t="shared" si="16"/>
        <v>#REF!</v>
      </c>
      <c r="BD68" s="278" t="e">
        <f t="shared" si="11"/>
        <v>#REF!</v>
      </c>
      <c r="BF68" s="770" t="e">
        <f t="shared" si="17"/>
        <v>#REF!</v>
      </c>
      <c r="BG68" s="771"/>
      <c r="BH68" s="279" t="e">
        <f t="shared" si="18"/>
        <v>#REF!</v>
      </c>
      <c r="BI68" s="772" t="e">
        <f t="shared" si="19"/>
        <v>#REF!</v>
      </c>
      <c r="BJ68" s="773"/>
      <c r="BK68" s="774" t="e">
        <f>IF(BR68&gt;0,CHOOSE(MATCH(RegimeExecucao,{"Unitário","Global"},0),IF($A68="S",BR68/BN68,""),(BR68/BN68)*100),"")</f>
        <v>#REF!</v>
      </c>
      <c r="BL68" s="775"/>
      <c r="BM68" s="776"/>
      <c r="BN68" s="777" t="e">
        <f>IF(BR68&gt;0,CHOOSE(MATCH(RegimeExecucao,{"Unitário","Global"},0),IF($A68="S",ROUND(P68,arredunit),""),ROUND(R68,arredtot)),"")</f>
        <v>#REF!</v>
      </c>
      <c r="BO68" s="778"/>
      <c r="BP68" s="778"/>
      <c r="BQ68" s="779"/>
      <c r="BR68" s="777" t="e">
        <f t="shared" si="1"/>
        <v>#REF!</v>
      </c>
      <c r="BS68" s="778"/>
      <c r="BT68" s="778"/>
      <c r="BU68" s="779"/>
      <c r="BV68" s="780"/>
      <c r="BW68" s="780"/>
      <c r="BX68" s="780"/>
      <c r="BY68" s="780"/>
      <c r="BZ68" s="780"/>
      <c r="CA68" s="781"/>
      <c r="CB68" s="245"/>
      <c r="CC68" s="245"/>
    </row>
    <row r="69" spans="1:81" s="222" customFormat="1" ht="13.8">
      <c r="A69" s="222">
        <f t="shared" si="12"/>
        <v>1</v>
      </c>
      <c r="B69" s="222">
        <f t="shared" ca="1" si="13"/>
        <v>5</v>
      </c>
      <c r="C69" s="222">
        <f t="shared" ca="1" si="2"/>
        <v>9</v>
      </c>
      <c r="D69" s="222">
        <f t="shared" ca="1" si="3"/>
        <v>0</v>
      </c>
      <c r="E69" s="222">
        <f t="shared" ca="1" si="4"/>
        <v>0</v>
      </c>
      <c r="F69" s="222">
        <f t="shared" ca="1" si="5"/>
        <v>0</v>
      </c>
      <c r="G69" s="222">
        <f t="shared" ca="1" si="6"/>
        <v>0</v>
      </c>
      <c r="H69" s="222">
        <f t="shared" ca="1" si="7"/>
        <v>27</v>
      </c>
      <c r="I69" s="222">
        <f t="shared" ca="1" si="8"/>
        <v>5</v>
      </c>
      <c r="J69" s="222">
        <f t="shared" si="9"/>
        <v>0</v>
      </c>
      <c r="K69" s="269" t="str">
        <f>CHOOSE(1+LOG(1+2*($J69=3)+4*($J69=2)+8*($J69=1)+16*(AND($L69&lt;&gt;"",$L69&lt;&gt;0,$J69=0))+32*OR($N69&lt;&gt;"",RegimeExecucao="Global",AND($L69="",$M69="",$N69="")),2),"","Nível 4","Nível 3","Nível 2","Meta","Serviço")</f>
        <v>Meta</v>
      </c>
      <c r="L69" s="324">
        <v>9</v>
      </c>
      <c r="M69" s="325" t="s">
        <v>137</v>
      </c>
      <c r="N69" s="326"/>
      <c r="O69" s="327"/>
      <c r="P69" s="328"/>
      <c r="Q69" s="329">
        <f t="shared" si="14"/>
        <v>20723.019999999997</v>
      </c>
      <c r="R69" s="330">
        <f>SUM(R70:R73)</f>
        <v>20723.019999999997</v>
      </c>
      <c r="S69" s="331">
        <f>Z69+AA69</f>
        <v>0</v>
      </c>
      <c r="T69" s="337">
        <f>AB69</f>
        <v>0</v>
      </c>
      <c r="U69" s="332">
        <f t="shared" si="21"/>
        <v>0</v>
      </c>
      <c r="V69" s="338">
        <f>SUM(V70:V73)</f>
        <v>11607.262835249041</v>
      </c>
      <c r="W69" s="339">
        <f>SUM(W70:W73)</f>
        <v>6105.1451946360148</v>
      </c>
      <c r="X69" s="340">
        <f t="shared" si="23"/>
        <v>17712.408029885057</v>
      </c>
      <c r="Y69" s="333"/>
      <c r="Z69" s="334"/>
      <c r="AA69" s="328"/>
      <c r="AB69" s="328"/>
      <c r="AC69" s="328"/>
      <c r="AD69" s="328"/>
      <c r="AE69" s="328"/>
      <c r="AF69" s="328"/>
      <c r="AG69" s="328"/>
      <c r="AH69" s="328"/>
      <c r="AI69" s="328"/>
      <c r="AJ69" s="328"/>
      <c r="AK69" s="335"/>
      <c r="AL69" s="334"/>
      <c r="AM69" s="328"/>
      <c r="AN69" s="328"/>
      <c r="AO69" s="328"/>
      <c r="AP69" s="328"/>
      <c r="AQ69" s="271"/>
      <c r="AR69" s="271"/>
      <c r="AS69" s="271"/>
      <c r="AT69" s="271"/>
      <c r="AU69" s="271"/>
      <c r="AV69" s="271"/>
      <c r="AW69" s="272"/>
      <c r="AX69" s="245"/>
      <c r="AY69" s="273">
        <v>0</v>
      </c>
      <c r="AZ69" s="274">
        <f t="shared" si="15"/>
        <v>0</v>
      </c>
      <c r="BA69" s="275">
        <v>0</v>
      </c>
      <c r="BB69" s="276" t="e">
        <f t="shared" ca="1" si="10"/>
        <v>#REF!</v>
      </c>
      <c r="BC69" s="277" t="e">
        <f t="shared" ca="1" si="16"/>
        <v>#REF!</v>
      </c>
      <c r="BD69" s="278" t="e">
        <f t="shared" ca="1" si="11"/>
        <v>#REF!</v>
      </c>
      <c r="BF69" s="770" t="e">
        <f t="shared" ca="1" si="17"/>
        <v>#REF!</v>
      </c>
      <c r="BG69" s="771"/>
      <c r="BH69" s="279" t="e">
        <f t="shared" ca="1" si="18"/>
        <v>#REF!</v>
      </c>
      <c r="BI69" s="772" t="e">
        <f t="shared" ca="1" si="19"/>
        <v>#REF!</v>
      </c>
      <c r="BJ69" s="773"/>
      <c r="BK69" s="774" t="e">
        <f ca="1">IF(BR69&gt;0,CHOOSE(MATCH(RegimeExecucao,{"Unitário","Global"},0),IF($A69="S",BR69/BN69,""),(BR69/BN69)*100),"")</f>
        <v>#REF!</v>
      </c>
      <c r="BL69" s="775"/>
      <c r="BM69" s="776"/>
      <c r="BN69" s="777" t="e">
        <f ca="1">IF(BR69&gt;0,CHOOSE(MATCH(RegimeExecucao,{"Unitário","Global"},0),IF($A69="S",ROUND(P69,arredunit),""),ROUND(R69,arredtot)),"")</f>
        <v>#REF!</v>
      </c>
      <c r="BO69" s="778"/>
      <c r="BP69" s="778"/>
      <c r="BQ69" s="779"/>
      <c r="BR69" s="777" t="e">
        <f t="shared" ca="1" si="1"/>
        <v>#REF!</v>
      </c>
      <c r="BS69" s="778"/>
      <c r="BT69" s="778"/>
      <c r="BU69" s="779"/>
      <c r="BV69" s="780"/>
      <c r="BW69" s="780"/>
      <c r="BX69" s="780"/>
      <c r="BY69" s="780"/>
      <c r="BZ69" s="780"/>
      <c r="CA69" s="781"/>
      <c r="CB69" s="245"/>
      <c r="CC69" s="245"/>
    </row>
    <row r="70" spans="1:81" s="222" customFormat="1" ht="41.4">
      <c r="A70" s="222" t="str">
        <f t="shared" si="12"/>
        <v>S</v>
      </c>
      <c r="B70" s="222">
        <f t="shared" si="13"/>
        <v>0</v>
      </c>
      <c r="C70" s="222">
        <f t="shared" ca="1" si="2"/>
        <v>9</v>
      </c>
      <c r="D70" s="222">
        <f t="shared" ca="1" si="3"/>
        <v>0</v>
      </c>
      <c r="E70" s="222">
        <f t="shared" ca="1" si="4"/>
        <v>0</v>
      </c>
      <c r="F70" s="222">
        <f t="shared" ca="1" si="5"/>
        <v>0</v>
      </c>
      <c r="G70" s="222">
        <f t="shared" ca="1" si="6"/>
        <v>1</v>
      </c>
      <c r="H70" s="222">
        <f t="shared" ca="1" si="7"/>
        <v>0</v>
      </c>
      <c r="I70" s="222">
        <f t="shared" ca="1" si="8"/>
        <v>0</v>
      </c>
      <c r="J70" s="222">
        <f t="shared" si="9"/>
        <v>1</v>
      </c>
      <c r="K70" s="269" t="s">
        <v>4</v>
      </c>
      <c r="L70" s="336" t="s">
        <v>138</v>
      </c>
      <c r="M70" s="325" t="s">
        <v>139</v>
      </c>
      <c r="N70" s="326" t="s">
        <v>43</v>
      </c>
      <c r="O70" s="327">
        <v>208</v>
      </c>
      <c r="P70" s="328">
        <v>26.591105769230769</v>
      </c>
      <c r="Q70" s="329">
        <f t="shared" si="14"/>
        <v>0</v>
      </c>
      <c r="R70" s="330">
        <f t="shared" si="20"/>
        <v>5530.95</v>
      </c>
      <c r="S70" s="331">
        <f t="shared" si="33"/>
        <v>208</v>
      </c>
      <c r="T70" s="337">
        <f t="shared" si="31"/>
        <v>0</v>
      </c>
      <c r="U70" s="332">
        <f t="shared" si="21"/>
        <v>208</v>
      </c>
      <c r="V70" s="338">
        <f t="shared" si="32"/>
        <v>5530.95</v>
      </c>
      <c r="W70" s="339">
        <f>IF(O70-AC70&gt;0.01,AC70*P70,R70)</f>
        <v>0</v>
      </c>
      <c r="X70" s="340">
        <f t="shared" si="23"/>
        <v>5530.95</v>
      </c>
      <c r="Y70" s="333"/>
      <c r="Z70" s="334">
        <v>104</v>
      </c>
      <c r="AA70" s="328"/>
      <c r="AB70" s="328">
        <v>104</v>
      </c>
      <c r="AC70" s="328"/>
      <c r="AD70" s="328"/>
      <c r="AE70" s="328"/>
      <c r="AF70" s="328"/>
      <c r="AG70" s="328"/>
      <c r="AH70" s="328"/>
      <c r="AI70" s="328"/>
      <c r="AJ70" s="328"/>
      <c r="AK70" s="335"/>
      <c r="AL70" s="334"/>
      <c r="AM70" s="328"/>
      <c r="AN70" s="328"/>
      <c r="AO70" s="328"/>
      <c r="AP70" s="328"/>
      <c r="AQ70" s="271"/>
      <c r="AR70" s="271"/>
      <c r="AS70" s="271"/>
      <c r="AT70" s="271"/>
      <c r="AU70" s="271"/>
      <c r="AV70" s="271"/>
      <c r="AW70" s="272"/>
      <c r="AX70" s="245"/>
      <c r="AY70" s="273">
        <v>0</v>
      </c>
      <c r="AZ70" s="274">
        <f t="shared" si="15"/>
        <v>0</v>
      </c>
      <c r="BA70" s="275">
        <v>0</v>
      </c>
      <c r="BB70" s="276" t="e">
        <f t="shared" si="10"/>
        <v>#REF!</v>
      </c>
      <c r="BC70" s="277" t="e">
        <f t="shared" si="16"/>
        <v>#REF!</v>
      </c>
      <c r="BD70" s="278" t="e">
        <f t="shared" si="11"/>
        <v>#REF!</v>
      </c>
      <c r="BF70" s="770" t="e">
        <f t="shared" si="17"/>
        <v>#REF!</v>
      </c>
      <c r="BG70" s="771"/>
      <c r="BH70" s="279" t="e">
        <f t="shared" si="18"/>
        <v>#REF!</v>
      </c>
      <c r="BI70" s="772" t="e">
        <f t="shared" si="19"/>
        <v>#REF!</v>
      </c>
      <c r="BJ70" s="773"/>
      <c r="BK70" s="774" t="e">
        <f>IF(BR70&gt;0,CHOOSE(MATCH(RegimeExecucao,{"Unitário","Global"},0),IF($A70="S",BR70/BN70,""),(BR70/BN70)*100),"")</f>
        <v>#REF!</v>
      </c>
      <c r="BL70" s="775"/>
      <c r="BM70" s="776"/>
      <c r="BN70" s="777" t="e">
        <f>IF(BR70&gt;0,CHOOSE(MATCH(RegimeExecucao,{"Unitário","Global"},0),IF($A70="S",ROUND(P70,arredunit),""),ROUND(R70,arredtot)),"")</f>
        <v>#REF!</v>
      </c>
      <c r="BO70" s="778"/>
      <c r="BP70" s="778"/>
      <c r="BQ70" s="779"/>
      <c r="BR70" s="777" t="e">
        <f t="shared" si="1"/>
        <v>#REF!</v>
      </c>
      <c r="BS70" s="778"/>
      <c r="BT70" s="778"/>
      <c r="BU70" s="779"/>
      <c r="BV70" s="780"/>
      <c r="BW70" s="780"/>
      <c r="BX70" s="780"/>
      <c r="BY70" s="780"/>
      <c r="BZ70" s="780"/>
      <c r="CA70" s="781"/>
      <c r="CB70" s="245"/>
      <c r="CC70" s="245"/>
    </row>
    <row r="71" spans="1:81" s="222" customFormat="1" ht="27.6">
      <c r="A71" s="222" t="str">
        <f t="shared" si="12"/>
        <v>S</v>
      </c>
      <c r="B71" s="222">
        <f t="shared" si="13"/>
        <v>0</v>
      </c>
      <c r="C71" s="222">
        <f t="shared" ca="1" si="2"/>
        <v>9</v>
      </c>
      <c r="D71" s="222">
        <f t="shared" ca="1" si="3"/>
        <v>0</v>
      </c>
      <c r="E71" s="222">
        <f t="shared" ca="1" si="4"/>
        <v>0</v>
      </c>
      <c r="F71" s="222">
        <f t="shared" ca="1" si="5"/>
        <v>0</v>
      </c>
      <c r="G71" s="222">
        <f t="shared" ca="1" si="6"/>
        <v>2</v>
      </c>
      <c r="H71" s="222">
        <f t="shared" ca="1" si="7"/>
        <v>0</v>
      </c>
      <c r="I71" s="222">
        <f t="shared" ca="1" si="8"/>
        <v>0</v>
      </c>
      <c r="J71" s="222">
        <f t="shared" si="9"/>
        <v>1</v>
      </c>
      <c r="K71" s="269" t="s">
        <v>4</v>
      </c>
      <c r="L71" s="336" t="s">
        <v>140</v>
      </c>
      <c r="M71" s="325" t="s">
        <v>141</v>
      </c>
      <c r="N71" s="326" t="s">
        <v>43</v>
      </c>
      <c r="O71" s="327">
        <v>783</v>
      </c>
      <c r="P71" s="328">
        <v>13.18662835249042</v>
      </c>
      <c r="Q71" s="329">
        <f t="shared" si="14"/>
        <v>0</v>
      </c>
      <c r="R71" s="330">
        <f t="shared" si="20"/>
        <v>10325.129999999999</v>
      </c>
      <c r="S71" s="331">
        <f t="shared" si="33"/>
        <v>100</v>
      </c>
      <c r="T71" s="337">
        <f t="shared" si="31"/>
        <v>462.98</v>
      </c>
      <c r="U71" s="332">
        <f t="shared" si="21"/>
        <v>562.98</v>
      </c>
      <c r="V71" s="338">
        <f>P71*S71+0.01</f>
        <v>1318.672835249042</v>
      </c>
      <c r="W71" s="339">
        <f>IF(O71-AC71&gt;0.01,AC71*P71,R71)</f>
        <v>6105.1451946360148</v>
      </c>
      <c r="X71" s="340">
        <f t="shared" si="23"/>
        <v>7423.8180298850566</v>
      </c>
      <c r="Y71" s="333"/>
      <c r="Z71" s="334"/>
      <c r="AA71" s="328"/>
      <c r="AB71" s="328">
        <v>100</v>
      </c>
      <c r="AC71" s="328">
        <v>462.98</v>
      </c>
      <c r="AD71" s="328"/>
      <c r="AE71" s="328"/>
      <c r="AF71" s="328"/>
      <c r="AG71" s="328"/>
      <c r="AH71" s="328"/>
      <c r="AI71" s="328"/>
      <c r="AJ71" s="328"/>
      <c r="AK71" s="335"/>
      <c r="AL71" s="334"/>
      <c r="AM71" s="328"/>
      <c r="AN71" s="328"/>
      <c r="AO71" s="328"/>
      <c r="AP71" s="328"/>
      <c r="AQ71" s="271"/>
      <c r="AR71" s="271"/>
      <c r="AS71" s="271"/>
      <c r="AT71" s="271"/>
      <c r="AU71" s="271"/>
      <c r="AV71" s="271"/>
      <c r="AW71" s="272"/>
      <c r="AX71" s="245"/>
      <c r="AY71" s="273">
        <v>0</v>
      </c>
      <c r="AZ71" s="274">
        <f t="shared" si="15"/>
        <v>0</v>
      </c>
      <c r="BA71" s="275">
        <v>0</v>
      </c>
      <c r="BB71" s="276" t="e">
        <f t="shared" si="10"/>
        <v>#REF!</v>
      </c>
      <c r="BC71" s="277" t="e">
        <f t="shared" si="16"/>
        <v>#REF!</v>
      </c>
      <c r="BD71" s="278" t="e">
        <f t="shared" si="11"/>
        <v>#REF!</v>
      </c>
      <c r="BF71" s="770" t="e">
        <f t="shared" si="17"/>
        <v>#REF!</v>
      </c>
      <c r="BG71" s="771"/>
      <c r="BH71" s="279" t="e">
        <f t="shared" si="18"/>
        <v>#REF!</v>
      </c>
      <c r="BI71" s="772" t="e">
        <f t="shared" si="19"/>
        <v>#REF!</v>
      </c>
      <c r="BJ71" s="773"/>
      <c r="BK71" s="774" t="e">
        <f>IF(BR71&gt;0,CHOOSE(MATCH(RegimeExecucao,{"Unitário","Global"},0),IF($A71="S",BR71/BN71,""),(BR71/BN71)*100),"")</f>
        <v>#REF!</v>
      </c>
      <c r="BL71" s="775"/>
      <c r="BM71" s="776"/>
      <c r="BN71" s="777" t="e">
        <f>IF(BR71&gt;0,CHOOSE(MATCH(RegimeExecucao,{"Unitário","Global"},0),IF($A71="S",ROUND(P71,arredunit),""),ROUND(R71,arredtot)),"")</f>
        <v>#REF!</v>
      </c>
      <c r="BO71" s="778"/>
      <c r="BP71" s="778"/>
      <c r="BQ71" s="779"/>
      <c r="BR71" s="777" t="e">
        <f t="shared" si="1"/>
        <v>#REF!</v>
      </c>
      <c r="BS71" s="778"/>
      <c r="BT71" s="778"/>
      <c r="BU71" s="779"/>
      <c r="BV71" s="780"/>
      <c r="BW71" s="780"/>
      <c r="BX71" s="780"/>
      <c r="BY71" s="780"/>
      <c r="BZ71" s="780"/>
      <c r="CA71" s="781"/>
      <c r="CB71" s="245"/>
      <c r="CC71" s="245"/>
    </row>
    <row r="72" spans="1:81" s="222" customFormat="1" ht="13.8">
      <c r="A72" s="222" t="str">
        <f t="shared" si="12"/>
        <v>S</v>
      </c>
      <c r="B72" s="222">
        <f t="shared" si="13"/>
        <v>0</v>
      </c>
      <c r="C72" s="222">
        <f t="shared" ca="1" si="2"/>
        <v>9</v>
      </c>
      <c r="D72" s="222">
        <f t="shared" ca="1" si="3"/>
        <v>0</v>
      </c>
      <c r="E72" s="222">
        <f t="shared" ca="1" si="4"/>
        <v>0</v>
      </c>
      <c r="F72" s="222">
        <f t="shared" ca="1" si="5"/>
        <v>0</v>
      </c>
      <c r="G72" s="222">
        <f t="shared" ca="1" si="6"/>
        <v>3</v>
      </c>
      <c r="H72" s="222">
        <f t="shared" ca="1" si="7"/>
        <v>0</v>
      </c>
      <c r="I72" s="222">
        <f t="shared" ca="1" si="8"/>
        <v>0</v>
      </c>
      <c r="J72" s="222">
        <f t="shared" si="9"/>
        <v>1</v>
      </c>
      <c r="K72" s="269" t="s">
        <v>4</v>
      </c>
      <c r="L72" s="336" t="s">
        <v>142</v>
      </c>
      <c r="M72" s="325" t="s">
        <v>143</v>
      </c>
      <c r="N72" s="326" t="s">
        <v>43</v>
      </c>
      <c r="O72" s="327">
        <v>4.2595479345284488</v>
      </c>
      <c r="P72" s="328">
        <v>25.66</v>
      </c>
      <c r="Q72" s="329">
        <f t="shared" si="14"/>
        <v>0</v>
      </c>
      <c r="R72" s="330">
        <f t="shared" si="20"/>
        <v>109.3</v>
      </c>
      <c r="S72" s="331">
        <f t="shared" si="33"/>
        <v>0</v>
      </c>
      <c r="T72" s="337">
        <f t="shared" si="31"/>
        <v>0</v>
      </c>
      <c r="U72" s="332">
        <f t="shared" si="21"/>
        <v>0</v>
      </c>
      <c r="V72" s="338">
        <f t="shared" si="32"/>
        <v>0</v>
      </c>
      <c r="W72" s="339">
        <f>IF(O72-AC72&gt;0.01,AC72*P72,R72)</f>
        <v>0</v>
      </c>
      <c r="X72" s="340">
        <f t="shared" si="23"/>
        <v>0</v>
      </c>
      <c r="Y72" s="333"/>
      <c r="Z72" s="334"/>
      <c r="AA72" s="328"/>
      <c r="AB72" s="328"/>
      <c r="AC72" s="328"/>
      <c r="AD72" s="328"/>
      <c r="AE72" s="328"/>
      <c r="AF72" s="328"/>
      <c r="AG72" s="328"/>
      <c r="AH72" s="328"/>
      <c r="AI72" s="328"/>
      <c r="AJ72" s="328"/>
      <c r="AK72" s="335"/>
      <c r="AL72" s="334"/>
      <c r="AM72" s="328"/>
      <c r="AN72" s="328"/>
      <c r="AO72" s="328"/>
      <c r="AP72" s="328"/>
      <c r="AQ72" s="271"/>
      <c r="AR72" s="271"/>
      <c r="AS72" s="271"/>
      <c r="AT72" s="271"/>
      <c r="AU72" s="271"/>
      <c r="AV72" s="271"/>
      <c r="AW72" s="272"/>
      <c r="AX72" s="245"/>
      <c r="AY72" s="273">
        <v>0</v>
      </c>
      <c r="AZ72" s="274">
        <f t="shared" si="15"/>
        <v>0</v>
      </c>
      <c r="BA72" s="275">
        <v>0</v>
      </c>
      <c r="BB72" s="276" t="e">
        <f t="shared" si="10"/>
        <v>#REF!</v>
      </c>
      <c r="BC72" s="277" t="e">
        <f t="shared" si="16"/>
        <v>#REF!</v>
      </c>
      <c r="BD72" s="278" t="e">
        <f t="shared" si="11"/>
        <v>#REF!</v>
      </c>
      <c r="BF72" s="770" t="e">
        <f t="shared" si="17"/>
        <v>#REF!</v>
      </c>
      <c r="BG72" s="771"/>
      <c r="BH72" s="279" t="e">
        <f t="shared" si="18"/>
        <v>#REF!</v>
      </c>
      <c r="BI72" s="772" t="e">
        <f t="shared" si="19"/>
        <v>#REF!</v>
      </c>
      <c r="BJ72" s="773"/>
      <c r="BK72" s="774" t="e">
        <f>IF(BR72&gt;0,CHOOSE(MATCH(RegimeExecucao,{"Unitário","Global"},0),IF($A72="S",BR72/BN72,""),(BR72/BN72)*100),"")</f>
        <v>#REF!</v>
      </c>
      <c r="BL72" s="775"/>
      <c r="BM72" s="776"/>
      <c r="BN72" s="777" t="e">
        <f>IF(BR72&gt;0,CHOOSE(MATCH(RegimeExecucao,{"Unitário","Global"},0),IF($A72="S",ROUND(P72,arredunit),""),ROUND(R72,arredtot)),"")</f>
        <v>#REF!</v>
      </c>
      <c r="BO72" s="778"/>
      <c r="BP72" s="778"/>
      <c r="BQ72" s="779"/>
      <c r="BR72" s="777" t="e">
        <f t="shared" si="1"/>
        <v>#REF!</v>
      </c>
      <c r="BS72" s="778"/>
      <c r="BT72" s="778"/>
      <c r="BU72" s="779"/>
      <c r="BV72" s="780"/>
      <c r="BW72" s="780"/>
      <c r="BX72" s="780"/>
      <c r="BY72" s="780"/>
      <c r="BZ72" s="780"/>
      <c r="CA72" s="781"/>
      <c r="CB72" s="245"/>
      <c r="CC72" s="245"/>
    </row>
    <row r="73" spans="1:81" s="222" customFormat="1" ht="41.4">
      <c r="A73" s="222" t="str">
        <f t="shared" si="12"/>
        <v>S</v>
      </c>
      <c r="B73" s="222">
        <f t="shared" si="13"/>
        <v>0</v>
      </c>
      <c r="C73" s="222">
        <f t="shared" ca="1" si="2"/>
        <v>9</v>
      </c>
      <c r="D73" s="222">
        <f t="shared" ca="1" si="3"/>
        <v>0</v>
      </c>
      <c r="E73" s="222">
        <f t="shared" ca="1" si="4"/>
        <v>0</v>
      </c>
      <c r="F73" s="222">
        <f t="shared" ca="1" si="5"/>
        <v>0</v>
      </c>
      <c r="G73" s="222">
        <f t="shared" ca="1" si="6"/>
        <v>4</v>
      </c>
      <c r="H73" s="222">
        <f t="shared" ca="1" si="7"/>
        <v>0</v>
      </c>
      <c r="I73" s="222">
        <f t="shared" ca="1" si="8"/>
        <v>0</v>
      </c>
      <c r="J73" s="222">
        <f t="shared" si="9"/>
        <v>1</v>
      </c>
      <c r="K73" s="269" t="s">
        <v>4</v>
      </c>
      <c r="L73" s="336" t="s">
        <v>144</v>
      </c>
      <c r="M73" s="325" t="s">
        <v>145</v>
      </c>
      <c r="N73" s="326" t="s">
        <v>43</v>
      </c>
      <c r="O73" s="327">
        <v>99</v>
      </c>
      <c r="P73" s="328">
        <v>48.056969696969695</v>
      </c>
      <c r="Q73" s="329">
        <f t="shared" si="14"/>
        <v>0</v>
      </c>
      <c r="R73" s="330">
        <f t="shared" si="20"/>
        <v>4757.6399999999994</v>
      </c>
      <c r="S73" s="331">
        <f t="shared" si="33"/>
        <v>99</v>
      </c>
      <c r="T73" s="337">
        <f t="shared" si="31"/>
        <v>0</v>
      </c>
      <c r="U73" s="332">
        <f t="shared" si="21"/>
        <v>99</v>
      </c>
      <c r="V73" s="338">
        <f t="shared" si="32"/>
        <v>4757.6399999999994</v>
      </c>
      <c r="W73" s="339">
        <f>IF(O73-AC73&gt;0.01,AC73*P73,R73)</f>
        <v>0</v>
      </c>
      <c r="X73" s="340">
        <f t="shared" si="23"/>
        <v>4757.6399999999994</v>
      </c>
      <c r="Y73" s="333"/>
      <c r="Z73" s="334"/>
      <c r="AA73" s="328"/>
      <c r="AB73" s="328">
        <v>99</v>
      </c>
      <c r="AC73" s="328"/>
      <c r="AD73" s="328"/>
      <c r="AE73" s="328"/>
      <c r="AF73" s="328"/>
      <c r="AG73" s="328"/>
      <c r="AH73" s="328"/>
      <c r="AI73" s="328"/>
      <c r="AJ73" s="328"/>
      <c r="AK73" s="335"/>
      <c r="AL73" s="334"/>
      <c r="AM73" s="328"/>
      <c r="AN73" s="328"/>
      <c r="AO73" s="328"/>
      <c r="AP73" s="328"/>
      <c r="AQ73" s="271"/>
      <c r="AR73" s="271"/>
      <c r="AS73" s="271"/>
      <c r="AT73" s="271"/>
      <c r="AU73" s="271"/>
      <c r="AV73" s="271"/>
      <c r="AW73" s="272"/>
      <c r="AX73" s="245"/>
      <c r="AY73" s="273">
        <v>0</v>
      </c>
      <c r="AZ73" s="274">
        <f t="shared" si="15"/>
        <v>0</v>
      </c>
      <c r="BA73" s="275">
        <v>0</v>
      </c>
      <c r="BB73" s="276" t="e">
        <f t="shared" si="10"/>
        <v>#REF!</v>
      </c>
      <c r="BC73" s="277" t="e">
        <f t="shared" si="16"/>
        <v>#REF!</v>
      </c>
      <c r="BD73" s="278" t="e">
        <f t="shared" si="11"/>
        <v>#REF!</v>
      </c>
      <c r="BF73" s="770" t="e">
        <f t="shared" si="17"/>
        <v>#REF!</v>
      </c>
      <c r="BG73" s="771"/>
      <c r="BH73" s="279" t="e">
        <f t="shared" si="18"/>
        <v>#REF!</v>
      </c>
      <c r="BI73" s="772" t="e">
        <f t="shared" si="19"/>
        <v>#REF!</v>
      </c>
      <c r="BJ73" s="773"/>
      <c r="BK73" s="774" t="e">
        <f>IF(BR73&gt;0,CHOOSE(MATCH(RegimeExecucao,{"Unitário","Global"},0),IF($A73="S",BR73/BN73,""),(BR73/BN73)*100),"")</f>
        <v>#REF!</v>
      </c>
      <c r="BL73" s="775"/>
      <c r="BM73" s="776"/>
      <c r="BN73" s="777" t="e">
        <f>IF(BR73&gt;0,CHOOSE(MATCH(RegimeExecucao,{"Unitário","Global"},0),IF($A73="S",ROUND(P73,arredunit),""),ROUND(R73,arredtot)),"")</f>
        <v>#REF!</v>
      </c>
      <c r="BO73" s="778"/>
      <c r="BP73" s="778"/>
      <c r="BQ73" s="779"/>
      <c r="BR73" s="777" t="e">
        <f t="shared" si="1"/>
        <v>#REF!</v>
      </c>
      <c r="BS73" s="778"/>
      <c r="BT73" s="778"/>
      <c r="BU73" s="779"/>
      <c r="BV73" s="780"/>
      <c r="BW73" s="780"/>
      <c r="BX73" s="780"/>
      <c r="BY73" s="780"/>
      <c r="BZ73" s="780"/>
      <c r="CA73" s="781"/>
      <c r="CB73" s="245"/>
      <c r="CC73" s="245"/>
    </row>
    <row r="74" spans="1:81" s="222" customFormat="1" ht="13.8">
      <c r="A74" s="222">
        <f t="shared" si="12"/>
        <v>1</v>
      </c>
      <c r="B74" s="222">
        <f t="shared" ca="1" si="13"/>
        <v>6</v>
      </c>
      <c r="C74" s="222">
        <f t="shared" ca="1" si="2"/>
        <v>10</v>
      </c>
      <c r="D74" s="222">
        <f t="shared" ca="1" si="3"/>
        <v>0</v>
      </c>
      <c r="E74" s="222">
        <f t="shared" ca="1" si="4"/>
        <v>0</v>
      </c>
      <c r="F74" s="222">
        <f t="shared" ca="1" si="5"/>
        <v>0</v>
      </c>
      <c r="G74" s="222">
        <f t="shared" ca="1" si="6"/>
        <v>0</v>
      </c>
      <c r="H74" s="222">
        <f t="shared" ca="1" si="7"/>
        <v>22</v>
      </c>
      <c r="I74" s="222">
        <f t="shared" ca="1" si="8"/>
        <v>6</v>
      </c>
      <c r="J74" s="222">
        <f t="shared" si="9"/>
        <v>0</v>
      </c>
      <c r="K74" s="269" t="str">
        <f>CHOOSE(1+LOG(1+2*($J74=3)+4*($J74=2)+8*($J74=1)+16*(AND($L74&lt;&gt;"",$L74&lt;&gt;0,$J74=0))+32*OR($N74&lt;&gt;"",RegimeExecucao="Global",AND($L74="",$M74="",$N74="")),2),"","Nível 4","Nível 3","Nível 2","Meta","Serviço")</f>
        <v>Meta</v>
      </c>
      <c r="L74" s="324">
        <v>10</v>
      </c>
      <c r="M74" s="325" t="s">
        <v>146</v>
      </c>
      <c r="N74" s="326"/>
      <c r="O74" s="327"/>
      <c r="P74" s="328"/>
      <c r="Q74" s="329">
        <f t="shared" si="14"/>
        <v>11563.460000000001</v>
      </c>
      <c r="R74" s="330">
        <f>SUM(R75:R79)</f>
        <v>11563.460000000001</v>
      </c>
      <c r="S74" s="331">
        <f>Z74+AA74</f>
        <v>0</v>
      </c>
      <c r="T74" s="337">
        <f>AB74</f>
        <v>0</v>
      </c>
      <c r="U74" s="332">
        <f t="shared" si="21"/>
        <v>0</v>
      </c>
      <c r="V74" s="338">
        <f>SUM(V75:V79)</f>
        <v>0</v>
      </c>
      <c r="W74" s="339">
        <f>SUM(W75:W79)</f>
        <v>0</v>
      </c>
      <c r="X74" s="340">
        <f t="shared" si="23"/>
        <v>0</v>
      </c>
      <c r="Y74" s="333"/>
      <c r="Z74" s="334"/>
      <c r="AA74" s="328"/>
      <c r="AB74" s="328"/>
      <c r="AC74" s="328"/>
      <c r="AD74" s="328"/>
      <c r="AE74" s="328"/>
      <c r="AF74" s="328"/>
      <c r="AG74" s="328"/>
      <c r="AH74" s="328"/>
      <c r="AI74" s="328"/>
      <c r="AJ74" s="328"/>
      <c r="AK74" s="335"/>
      <c r="AL74" s="334"/>
      <c r="AM74" s="328"/>
      <c r="AN74" s="328"/>
      <c r="AO74" s="328"/>
      <c r="AP74" s="328"/>
      <c r="AQ74" s="271"/>
      <c r="AR74" s="271"/>
      <c r="AS74" s="271"/>
      <c r="AT74" s="271"/>
      <c r="AU74" s="271"/>
      <c r="AV74" s="271"/>
      <c r="AW74" s="272"/>
      <c r="AX74" s="245"/>
      <c r="AY74" s="273">
        <v>0</v>
      </c>
      <c r="AZ74" s="274">
        <f t="shared" si="15"/>
        <v>0</v>
      </c>
      <c r="BA74" s="275">
        <v>0</v>
      </c>
      <c r="BB74" s="276" t="e">
        <f t="shared" ca="1" si="10"/>
        <v>#REF!</v>
      </c>
      <c r="BC74" s="277" t="e">
        <f t="shared" ca="1" si="16"/>
        <v>#REF!</v>
      </c>
      <c r="BD74" s="278" t="e">
        <f t="shared" ca="1" si="11"/>
        <v>#REF!</v>
      </c>
      <c r="BF74" s="770" t="e">
        <f t="shared" ca="1" si="17"/>
        <v>#REF!</v>
      </c>
      <c r="BG74" s="771"/>
      <c r="BH74" s="279" t="e">
        <f t="shared" ca="1" si="18"/>
        <v>#REF!</v>
      </c>
      <c r="BI74" s="772" t="e">
        <f t="shared" ca="1" si="19"/>
        <v>#REF!</v>
      </c>
      <c r="BJ74" s="773"/>
      <c r="BK74" s="774" t="e">
        <f ca="1">IF(BR74&gt;0,CHOOSE(MATCH(RegimeExecucao,{"Unitário","Global"},0),IF($A74="S",BR74/BN74,""),(BR74/BN74)*100),"")</f>
        <v>#REF!</v>
      </c>
      <c r="BL74" s="775"/>
      <c r="BM74" s="776"/>
      <c r="BN74" s="777" t="e">
        <f ca="1">IF(BR74&gt;0,CHOOSE(MATCH(RegimeExecucao,{"Unitário","Global"},0),IF($A74="S",ROUND(P74,arredunit),""),ROUND(R74,arredtot)),"")</f>
        <v>#REF!</v>
      </c>
      <c r="BO74" s="778"/>
      <c r="BP74" s="778"/>
      <c r="BQ74" s="779"/>
      <c r="BR74" s="777" t="e">
        <f t="shared" ca="1" si="1"/>
        <v>#REF!</v>
      </c>
      <c r="BS74" s="778"/>
      <c r="BT74" s="778"/>
      <c r="BU74" s="779"/>
      <c r="BV74" s="780"/>
      <c r="BW74" s="780"/>
      <c r="BX74" s="780"/>
      <c r="BY74" s="780"/>
      <c r="BZ74" s="780"/>
      <c r="CA74" s="781"/>
      <c r="CB74" s="245"/>
      <c r="CC74" s="245"/>
    </row>
    <row r="75" spans="1:81" s="222" customFormat="1" ht="13.8">
      <c r="A75" s="222" t="str">
        <f t="shared" si="12"/>
        <v>S</v>
      </c>
      <c r="B75" s="222">
        <f t="shared" si="13"/>
        <v>0</v>
      </c>
      <c r="C75" s="222">
        <f t="shared" ca="1" si="2"/>
        <v>10</v>
      </c>
      <c r="D75" s="222">
        <f t="shared" ca="1" si="3"/>
        <v>0</v>
      </c>
      <c r="E75" s="222">
        <f t="shared" ca="1" si="4"/>
        <v>0</v>
      </c>
      <c r="F75" s="222">
        <f t="shared" ca="1" si="5"/>
        <v>0</v>
      </c>
      <c r="G75" s="222">
        <f t="shared" ca="1" si="6"/>
        <v>1</v>
      </c>
      <c r="H75" s="222">
        <f t="shared" ca="1" si="7"/>
        <v>0</v>
      </c>
      <c r="I75" s="222">
        <f t="shared" ca="1" si="8"/>
        <v>0</v>
      </c>
      <c r="J75" s="222">
        <f t="shared" si="9"/>
        <v>1</v>
      </c>
      <c r="K75" s="269" t="s">
        <v>4</v>
      </c>
      <c r="L75" s="336" t="s">
        <v>147</v>
      </c>
      <c r="M75" s="325" t="s">
        <v>148</v>
      </c>
      <c r="N75" s="326" t="s">
        <v>43</v>
      </c>
      <c r="O75" s="327">
        <v>9.999675261414561</v>
      </c>
      <c r="P75" s="328">
        <v>153.97</v>
      </c>
      <c r="Q75" s="329">
        <f t="shared" si="14"/>
        <v>0</v>
      </c>
      <c r="R75" s="330">
        <f t="shared" si="20"/>
        <v>1539.6499999999999</v>
      </c>
      <c r="S75" s="331">
        <f t="shared" si="33"/>
        <v>0</v>
      </c>
      <c r="T75" s="337">
        <f t="shared" si="31"/>
        <v>0</v>
      </c>
      <c r="U75" s="332">
        <f t="shared" si="21"/>
        <v>0</v>
      </c>
      <c r="V75" s="338">
        <f t="shared" si="32"/>
        <v>0</v>
      </c>
      <c r="W75" s="339">
        <f t="shared" si="22"/>
        <v>0</v>
      </c>
      <c r="X75" s="340">
        <f t="shared" si="23"/>
        <v>0</v>
      </c>
      <c r="Y75" s="333"/>
      <c r="Z75" s="334"/>
      <c r="AA75" s="328"/>
      <c r="AB75" s="328"/>
      <c r="AC75" s="328"/>
      <c r="AD75" s="328"/>
      <c r="AE75" s="328"/>
      <c r="AF75" s="328"/>
      <c r="AG75" s="328"/>
      <c r="AH75" s="328"/>
      <c r="AI75" s="328"/>
      <c r="AJ75" s="328"/>
      <c r="AK75" s="335"/>
      <c r="AL75" s="334"/>
      <c r="AM75" s="328"/>
      <c r="AN75" s="328"/>
      <c r="AO75" s="328"/>
      <c r="AP75" s="328"/>
      <c r="AQ75" s="271"/>
      <c r="AR75" s="271"/>
      <c r="AS75" s="271"/>
      <c r="AT75" s="271"/>
      <c r="AU75" s="271"/>
      <c r="AV75" s="271"/>
      <c r="AW75" s="272"/>
      <c r="AX75" s="245"/>
      <c r="AY75" s="273">
        <v>0</v>
      </c>
      <c r="AZ75" s="274">
        <f t="shared" si="15"/>
        <v>0</v>
      </c>
      <c r="BA75" s="275">
        <v>0</v>
      </c>
      <c r="BB75" s="276" t="e">
        <f t="shared" si="10"/>
        <v>#REF!</v>
      </c>
      <c r="BC75" s="277" t="e">
        <f t="shared" si="16"/>
        <v>#REF!</v>
      </c>
      <c r="BD75" s="278" t="e">
        <f t="shared" si="11"/>
        <v>#REF!</v>
      </c>
      <c r="BF75" s="770" t="e">
        <f t="shared" si="17"/>
        <v>#REF!</v>
      </c>
      <c r="BG75" s="771"/>
      <c r="BH75" s="279" t="e">
        <f t="shared" si="18"/>
        <v>#REF!</v>
      </c>
      <c r="BI75" s="772" t="e">
        <f t="shared" si="19"/>
        <v>#REF!</v>
      </c>
      <c r="BJ75" s="773"/>
      <c r="BK75" s="774" t="e">
        <f>IF(BR75&gt;0,CHOOSE(MATCH(RegimeExecucao,{"Unitário","Global"},0),IF($A75="S",BR75/BN75,""),(BR75/BN75)*100),"")</f>
        <v>#REF!</v>
      </c>
      <c r="BL75" s="775"/>
      <c r="BM75" s="776"/>
      <c r="BN75" s="777" t="e">
        <f>IF(BR75&gt;0,CHOOSE(MATCH(RegimeExecucao,{"Unitário","Global"},0),IF($A75="S",ROUND(P75,arredunit),""),ROUND(R75,arredtot)),"")</f>
        <v>#REF!</v>
      </c>
      <c r="BO75" s="778"/>
      <c r="BP75" s="778"/>
      <c r="BQ75" s="779"/>
      <c r="BR75" s="777" t="e">
        <f t="shared" si="1"/>
        <v>#REF!</v>
      </c>
      <c r="BS75" s="778"/>
      <c r="BT75" s="778"/>
      <c r="BU75" s="779"/>
      <c r="BV75" s="780"/>
      <c r="BW75" s="780"/>
      <c r="BX75" s="780"/>
      <c r="BY75" s="780"/>
      <c r="BZ75" s="780"/>
      <c r="CA75" s="781"/>
      <c r="CB75" s="245"/>
      <c r="CC75" s="245"/>
    </row>
    <row r="76" spans="1:81" s="222" customFormat="1" ht="13.8">
      <c r="A76" s="222" t="str">
        <f t="shared" si="12"/>
        <v>S</v>
      </c>
      <c r="B76" s="222">
        <f t="shared" si="13"/>
        <v>0</v>
      </c>
      <c r="C76" s="222">
        <f t="shared" ca="1" si="2"/>
        <v>10</v>
      </c>
      <c r="D76" s="222">
        <f t="shared" ca="1" si="3"/>
        <v>0</v>
      </c>
      <c r="E76" s="222">
        <f t="shared" ca="1" si="4"/>
        <v>0</v>
      </c>
      <c r="F76" s="222">
        <f t="shared" ca="1" si="5"/>
        <v>0</v>
      </c>
      <c r="G76" s="222">
        <f t="shared" ca="1" si="6"/>
        <v>2</v>
      </c>
      <c r="H76" s="222">
        <f t="shared" ca="1" si="7"/>
        <v>0</v>
      </c>
      <c r="I76" s="222">
        <f t="shared" ca="1" si="8"/>
        <v>0</v>
      </c>
      <c r="J76" s="222">
        <f t="shared" si="9"/>
        <v>1</v>
      </c>
      <c r="K76" s="269" t="s">
        <v>4</v>
      </c>
      <c r="L76" s="336" t="s">
        <v>149</v>
      </c>
      <c r="M76" s="325" t="s">
        <v>150</v>
      </c>
      <c r="N76" s="326" t="s">
        <v>151</v>
      </c>
      <c r="O76" s="327">
        <v>1</v>
      </c>
      <c r="P76" s="328">
        <v>3449.03</v>
      </c>
      <c r="Q76" s="329">
        <f t="shared" si="14"/>
        <v>0</v>
      </c>
      <c r="R76" s="330">
        <f t="shared" si="20"/>
        <v>3449.03</v>
      </c>
      <c r="S76" s="331">
        <f t="shared" si="33"/>
        <v>0</v>
      </c>
      <c r="T76" s="337">
        <f t="shared" si="31"/>
        <v>0</v>
      </c>
      <c r="U76" s="332">
        <f t="shared" si="21"/>
        <v>0</v>
      </c>
      <c r="V76" s="338">
        <f t="shared" si="32"/>
        <v>0</v>
      </c>
      <c r="W76" s="339">
        <f t="shared" si="22"/>
        <v>0</v>
      </c>
      <c r="X76" s="340">
        <f t="shared" si="23"/>
        <v>0</v>
      </c>
      <c r="Y76" s="333"/>
      <c r="Z76" s="334"/>
      <c r="AA76" s="328"/>
      <c r="AB76" s="328"/>
      <c r="AC76" s="328"/>
      <c r="AD76" s="328"/>
      <c r="AE76" s="328"/>
      <c r="AF76" s="328"/>
      <c r="AG76" s="328"/>
      <c r="AH76" s="328"/>
      <c r="AI76" s="328"/>
      <c r="AJ76" s="328"/>
      <c r="AK76" s="335"/>
      <c r="AL76" s="334"/>
      <c r="AM76" s="328"/>
      <c r="AN76" s="328"/>
      <c r="AO76" s="328"/>
      <c r="AP76" s="328"/>
      <c r="AQ76" s="271"/>
      <c r="AR76" s="271"/>
      <c r="AS76" s="271"/>
      <c r="AT76" s="271"/>
      <c r="AU76" s="271"/>
      <c r="AV76" s="271"/>
      <c r="AW76" s="272"/>
      <c r="AX76" s="245"/>
      <c r="AY76" s="273">
        <v>0</v>
      </c>
      <c r="AZ76" s="274">
        <f t="shared" si="15"/>
        <v>0</v>
      </c>
      <c r="BA76" s="275">
        <v>0</v>
      </c>
      <c r="BB76" s="276" t="e">
        <f t="shared" si="10"/>
        <v>#REF!</v>
      </c>
      <c r="BC76" s="277" t="e">
        <f t="shared" si="16"/>
        <v>#REF!</v>
      </c>
      <c r="BD76" s="278" t="e">
        <f t="shared" si="11"/>
        <v>#REF!</v>
      </c>
      <c r="BF76" s="770" t="e">
        <f t="shared" si="17"/>
        <v>#REF!</v>
      </c>
      <c r="BG76" s="771"/>
      <c r="BH76" s="279" t="e">
        <f t="shared" si="18"/>
        <v>#REF!</v>
      </c>
      <c r="BI76" s="772" t="e">
        <f t="shared" si="19"/>
        <v>#REF!</v>
      </c>
      <c r="BJ76" s="773"/>
      <c r="BK76" s="774" t="e">
        <f>IF(BR76&gt;0,CHOOSE(MATCH(RegimeExecucao,{"Unitário","Global"},0),IF($A76="S",BR76/BN76,""),(BR76/BN76)*100),"")</f>
        <v>#REF!</v>
      </c>
      <c r="BL76" s="775"/>
      <c r="BM76" s="776"/>
      <c r="BN76" s="777" t="e">
        <f>IF(BR76&gt;0,CHOOSE(MATCH(RegimeExecucao,{"Unitário","Global"},0),IF($A76="S",ROUND(P76,arredunit),""),ROUND(R76,arredtot)),"")</f>
        <v>#REF!</v>
      </c>
      <c r="BO76" s="778"/>
      <c r="BP76" s="778"/>
      <c r="BQ76" s="779"/>
      <c r="BR76" s="777" t="e">
        <f t="shared" si="1"/>
        <v>#REF!</v>
      </c>
      <c r="BS76" s="778"/>
      <c r="BT76" s="778"/>
      <c r="BU76" s="779"/>
      <c r="BV76" s="780"/>
      <c r="BW76" s="780"/>
      <c r="BX76" s="780"/>
      <c r="BY76" s="780"/>
      <c r="BZ76" s="780"/>
      <c r="CA76" s="781"/>
      <c r="CB76" s="245"/>
      <c r="CC76" s="245"/>
    </row>
    <row r="77" spans="1:81" s="222" customFormat="1" ht="13.8">
      <c r="A77" s="222" t="str">
        <f t="shared" si="12"/>
        <v>S</v>
      </c>
      <c r="B77" s="222">
        <f t="shared" si="13"/>
        <v>0</v>
      </c>
      <c r="C77" s="222">
        <f t="shared" ca="1" si="2"/>
        <v>10</v>
      </c>
      <c r="D77" s="222">
        <f t="shared" ca="1" si="3"/>
        <v>0</v>
      </c>
      <c r="E77" s="222">
        <f t="shared" ca="1" si="4"/>
        <v>0</v>
      </c>
      <c r="F77" s="222">
        <f t="shared" ca="1" si="5"/>
        <v>0</v>
      </c>
      <c r="G77" s="222">
        <f t="shared" ca="1" si="6"/>
        <v>3</v>
      </c>
      <c r="H77" s="222">
        <f t="shared" ca="1" si="7"/>
        <v>0</v>
      </c>
      <c r="I77" s="222">
        <f t="shared" ca="1" si="8"/>
        <v>0</v>
      </c>
      <c r="J77" s="222">
        <f t="shared" si="9"/>
        <v>1</v>
      </c>
      <c r="K77" s="269" t="s">
        <v>4</v>
      </c>
      <c r="L77" s="336" t="s">
        <v>152</v>
      </c>
      <c r="M77" s="325" t="s">
        <v>153</v>
      </c>
      <c r="N77" s="326" t="s">
        <v>151</v>
      </c>
      <c r="O77" s="327">
        <v>1.9999937134594832</v>
      </c>
      <c r="P77" s="328">
        <v>1590.7</v>
      </c>
      <c r="Q77" s="329">
        <f t="shared" si="14"/>
        <v>0</v>
      </c>
      <c r="R77" s="330">
        <f t="shared" si="20"/>
        <v>3181.39</v>
      </c>
      <c r="S77" s="331">
        <f t="shared" si="33"/>
        <v>0</v>
      </c>
      <c r="T77" s="337">
        <f t="shared" si="31"/>
        <v>0</v>
      </c>
      <c r="U77" s="332">
        <f t="shared" si="21"/>
        <v>0</v>
      </c>
      <c r="V77" s="338">
        <f t="shared" si="32"/>
        <v>0</v>
      </c>
      <c r="W77" s="339">
        <f t="shared" si="22"/>
        <v>0</v>
      </c>
      <c r="X77" s="340">
        <f t="shared" si="23"/>
        <v>0</v>
      </c>
      <c r="Y77" s="333"/>
      <c r="Z77" s="334"/>
      <c r="AA77" s="328"/>
      <c r="AB77" s="328"/>
      <c r="AC77" s="328"/>
      <c r="AD77" s="328"/>
      <c r="AE77" s="328"/>
      <c r="AF77" s="328"/>
      <c r="AG77" s="328"/>
      <c r="AH77" s="328"/>
      <c r="AI77" s="328"/>
      <c r="AJ77" s="328"/>
      <c r="AK77" s="335"/>
      <c r="AL77" s="334"/>
      <c r="AM77" s="328"/>
      <c r="AN77" s="328"/>
      <c r="AO77" s="328"/>
      <c r="AP77" s="328"/>
      <c r="AQ77" s="271"/>
      <c r="AR77" s="271"/>
      <c r="AS77" s="271"/>
      <c r="AT77" s="271"/>
      <c r="AU77" s="271"/>
      <c r="AV77" s="271"/>
      <c r="AW77" s="272"/>
      <c r="AX77" s="245"/>
      <c r="AY77" s="273">
        <v>0</v>
      </c>
      <c r="AZ77" s="274">
        <f t="shared" si="15"/>
        <v>0</v>
      </c>
      <c r="BA77" s="275">
        <v>0</v>
      </c>
      <c r="BB77" s="276" t="e">
        <f t="shared" si="10"/>
        <v>#REF!</v>
      </c>
      <c r="BC77" s="277" t="e">
        <f t="shared" si="16"/>
        <v>#REF!</v>
      </c>
      <c r="BD77" s="278" t="e">
        <f t="shared" si="11"/>
        <v>#REF!</v>
      </c>
      <c r="BF77" s="770" t="e">
        <f t="shared" si="17"/>
        <v>#REF!</v>
      </c>
      <c r="BG77" s="771"/>
      <c r="BH77" s="279" t="e">
        <f t="shared" si="18"/>
        <v>#REF!</v>
      </c>
      <c r="BI77" s="772" t="e">
        <f t="shared" si="19"/>
        <v>#REF!</v>
      </c>
      <c r="BJ77" s="773"/>
      <c r="BK77" s="774" t="e">
        <f>IF(BR77&gt;0,CHOOSE(MATCH(RegimeExecucao,{"Unitário","Global"},0),IF($A77="S",BR77/BN77,""),(BR77/BN77)*100),"")</f>
        <v>#REF!</v>
      </c>
      <c r="BL77" s="775"/>
      <c r="BM77" s="776"/>
      <c r="BN77" s="777" t="e">
        <f>IF(BR77&gt;0,CHOOSE(MATCH(RegimeExecucao,{"Unitário","Global"},0),IF($A77="S",ROUND(P77,arredunit),""),ROUND(R77,arredtot)),"")</f>
        <v>#REF!</v>
      </c>
      <c r="BO77" s="778"/>
      <c r="BP77" s="778"/>
      <c r="BQ77" s="779"/>
      <c r="BR77" s="777" t="e">
        <f t="shared" si="1"/>
        <v>#REF!</v>
      </c>
      <c r="BS77" s="778"/>
      <c r="BT77" s="778"/>
      <c r="BU77" s="779"/>
      <c r="BV77" s="780"/>
      <c r="BW77" s="780"/>
      <c r="BX77" s="780"/>
      <c r="BY77" s="780"/>
      <c r="BZ77" s="780"/>
      <c r="CA77" s="781"/>
      <c r="CB77" s="245"/>
      <c r="CC77" s="245"/>
    </row>
    <row r="78" spans="1:81" s="222" customFormat="1" ht="13.8">
      <c r="A78" s="222" t="str">
        <f t="shared" si="12"/>
        <v>S</v>
      </c>
      <c r="B78" s="222">
        <f t="shared" si="13"/>
        <v>0</v>
      </c>
      <c r="C78" s="222">
        <f t="shared" ca="1" si="2"/>
        <v>10</v>
      </c>
      <c r="D78" s="222">
        <f t="shared" ca="1" si="3"/>
        <v>0</v>
      </c>
      <c r="E78" s="222">
        <f t="shared" ca="1" si="4"/>
        <v>0</v>
      </c>
      <c r="F78" s="222">
        <f t="shared" ca="1" si="5"/>
        <v>0</v>
      </c>
      <c r="G78" s="222">
        <f t="shared" ca="1" si="6"/>
        <v>4</v>
      </c>
      <c r="H78" s="222">
        <f t="shared" ca="1" si="7"/>
        <v>0</v>
      </c>
      <c r="I78" s="222">
        <f t="shared" ca="1" si="8"/>
        <v>0</v>
      </c>
      <c r="J78" s="222">
        <f t="shared" si="9"/>
        <v>1</v>
      </c>
      <c r="K78" s="269" t="s">
        <v>4</v>
      </c>
      <c r="L78" s="336" t="s">
        <v>154</v>
      </c>
      <c r="M78" s="325" t="s">
        <v>155</v>
      </c>
      <c r="N78" s="326" t="s">
        <v>151</v>
      </c>
      <c r="O78" s="327">
        <v>2</v>
      </c>
      <c r="P78" s="328">
        <v>997.64</v>
      </c>
      <c r="Q78" s="329">
        <f t="shared" si="14"/>
        <v>0</v>
      </c>
      <c r="R78" s="330">
        <f t="shared" si="20"/>
        <v>1995.28</v>
      </c>
      <c r="S78" s="331">
        <f t="shared" si="33"/>
        <v>0</v>
      </c>
      <c r="T78" s="337">
        <f t="shared" si="31"/>
        <v>0</v>
      </c>
      <c r="U78" s="332">
        <f t="shared" si="21"/>
        <v>0</v>
      </c>
      <c r="V78" s="338">
        <f t="shared" si="32"/>
        <v>0</v>
      </c>
      <c r="W78" s="339">
        <f t="shared" si="22"/>
        <v>0</v>
      </c>
      <c r="X78" s="340">
        <f t="shared" si="23"/>
        <v>0</v>
      </c>
      <c r="Y78" s="333"/>
      <c r="Z78" s="334"/>
      <c r="AA78" s="328"/>
      <c r="AB78" s="328"/>
      <c r="AC78" s="328"/>
      <c r="AD78" s="328"/>
      <c r="AE78" s="328"/>
      <c r="AF78" s="328"/>
      <c r="AG78" s="328"/>
      <c r="AH78" s="328"/>
      <c r="AI78" s="328"/>
      <c r="AJ78" s="328"/>
      <c r="AK78" s="335"/>
      <c r="AL78" s="334"/>
      <c r="AM78" s="328"/>
      <c r="AN78" s="328"/>
      <c r="AO78" s="328"/>
      <c r="AP78" s="328"/>
      <c r="AQ78" s="271"/>
      <c r="AR78" s="271"/>
      <c r="AS78" s="271"/>
      <c r="AT78" s="271"/>
      <c r="AU78" s="271"/>
      <c r="AV78" s="271"/>
      <c r="AW78" s="272"/>
      <c r="AX78" s="245"/>
      <c r="AY78" s="273">
        <v>0</v>
      </c>
      <c r="AZ78" s="274">
        <f t="shared" si="15"/>
        <v>0</v>
      </c>
      <c r="BA78" s="275">
        <v>0</v>
      </c>
      <c r="BB78" s="276" t="e">
        <f t="shared" si="10"/>
        <v>#REF!</v>
      </c>
      <c r="BC78" s="277" t="e">
        <f t="shared" si="16"/>
        <v>#REF!</v>
      </c>
      <c r="BD78" s="278" t="e">
        <f t="shared" si="11"/>
        <v>#REF!</v>
      </c>
      <c r="BF78" s="770" t="e">
        <f t="shared" si="17"/>
        <v>#REF!</v>
      </c>
      <c r="BG78" s="771"/>
      <c r="BH78" s="279" t="e">
        <f t="shared" si="18"/>
        <v>#REF!</v>
      </c>
      <c r="BI78" s="772" t="e">
        <f t="shared" si="19"/>
        <v>#REF!</v>
      </c>
      <c r="BJ78" s="773"/>
      <c r="BK78" s="774" t="e">
        <f>IF(BR78&gt;0,CHOOSE(MATCH(RegimeExecucao,{"Unitário","Global"},0),IF($A78="S",BR78/BN78,""),(BR78/BN78)*100),"")</f>
        <v>#REF!</v>
      </c>
      <c r="BL78" s="775"/>
      <c r="BM78" s="776"/>
      <c r="BN78" s="777" t="e">
        <f>IF(BR78&gt;0,CHOOSE(MATCH(RegimeExecucao,{"Unitário","Global"},0),IF($A78="S",ROUND(P78,arredunit),""),ROUND(R78,arredtot)),"")</f>
        <v>#REF!</v>
      </c>
      <c r="BO78" s="778"/>
      <c r="BP78" s="778"/>
      <c r="BQ78" s="779"/>
      <c r="BR78" s="777" t="e">
        <f t="shared" si="1"/>
        <v>#REF!</v>
      </c>
      <c r="BS78" s="778"/>
      <c r="BT78" s="778"/>
      <c r="BU78" s="779"/>
      <c r="BV78" s="780"/>
      <c r="BW78" s="780"/>
      <c r="BX78" s="780"/>
      <c r="BY78" s="780"/>
      <c r="BZ78" s="780"/>
      <c r="CA78" s="781"/>
      <c r="CB78" s="245"/>
      <c r="CC78" s="245"/>
    </row>
    <row r="79" spans="1:81" s="222" customFormat="1" ht="27.6">
      <c r="A79" s="222" t="str">
        <f t="shared" si="12"/>
        <v>S</v>
      </c>
      <c r="B79" s="222">
        <f t="shared" si="13"/>
        <v>0</v>
      </c>
      <c r="C79" s="222">
        <f t="shared" ca="1" si="2"/>
        <v>10</v>
      </c>
      <c r="D79" s="222">
        <f t="shared" ca="1" si="3"/>
        <v>0</v>
      </c>
      <c r="E79" s="222">
        <f t="shared" ca="1" si="4"/>
        <v>0</v>
      </c>
      <c r="F79" s="222">
        <f t="shared" ca="1" si="5"/>
        <v>0</v>
      </c>
      <c r="G79" s="222">
        <f t="shared" ca="1" si="6"/>
        <v>5</v>
      </c>
      <c r="H79" s="222">
        <f t="shared" ca="1" si="7"/>
        <v>0</v>
      </c>
      <c r="I79" s="222">
        <f t="shared" ca="1" si="8"/>
        <v>0</v>
      </c>
      <c r="J79" s="222">
        <f t="shared" si="9"/>
        <v>1</v>
      </c>
      <c r="K79" s="269" t="s">
        <v>4</v>
      </c>
      <c r="L79" s="336" t="s">
        <v>156</v>
      </c>
      <c r="M79" s="325" t="s">
        <v>157</v>
      </c>
      <c r="N79" s="326" t="s">
        <v>151</v>
      </c>
      <c r="O79" s="327">
        <v>1</v>
      </c>
      <c r="P79" s="328">
        <v>1398.11</v>
      </c>
      <c r="Q79" s="329">
        <f t="shared" si="14"/>
        <v>0</v>
      </c>
      <c r="R79" s="330">
        <f t="shared" si="20"/>
        <v>1398.11</v>
      </c>
      <c r="S79" s="331">
        <f t="shared" si="33"/>
        <v>0</v>
      </c>
      <c r="T79" s="337">
        <f t="shared" si="31"/>
        <v>0</v>
      </c>
      <c r="U79" s="332">
        <f t="shared" si="21"/>
        <v>0</v>
      </c>
      <c r="V79" s="338">
        <f t="shared" si="32"/>
        <v>0</v>
      </c>
      <c r="W79" s="339">
        <f t="shared" si="22"/>
        <v>0</v>
      </c>
      <c r="X79" s="340">
        <f t="shared" si="23"/>
        <v>0</v>
      </c>
      <c r="Y79" s="333"/>
      <c r="Z79" s="334"/>
      <c r="AA79" s="328"/>
      <c r="AB79" s="328"/>
      <c r="AC79" s="328"/>
      <c r="AD79" s="328"/>
      <c r="AE79" s="328"/>
      <c r="AF79" s="328"/>
      <c r="AG79" s="328"/>
      <c r="AH79" s="328"/>
      <c r="AI79" s="328"/>
      <c r="AJ79" s="328"/>
      <c r="AK79" s="335"/>
      <c r="AL79" s="334"/>
      <c r="AM79" s="328"/>
      <c r="AN79" s="328"/>
      <c r="AO79" s="328"/>
      <c r="AP79" s="328"/>
      <c r="AQ79" s="271"/>
      <c r="AR79" s="271"/>
      <c r="AS79" s="271"/>
      <c r="AT79" s="271"/>
      <c r="AU79" s="271"/>
      <c r="AV79" s="271"/>
      <c r="AW79" s="272"/>
      <c r="AX79" s="245"/>
      <c r="AY79" s="273">
        <v>0</v>
      </c>
      <c r="AZ79" s="274">
        <f t="shared" si="15"/>
        <v>0</v>
      </c>
      <c r="BA79" s="275">
        <v>0</v>
      </c>
      <c r="BB79" s="276" t="e">
        <f t="shared" si="10"/>
        <v>#REF!</v>
      </c>
      <c r="BC79" s="277" t="e">
        <f t="shared" si="16"/>
        <v>#REF!</v>
      </c>
      <c r="BD79" s="278" t="e">
        <f t="shared" si="11"/>
        <v>#REF!</v>
      </c>
      <c r="BF79" s="770" t="e">
        <f t="shared" si="17"/>
        <v>#REF!</v>
      </c>
      <c r="BG79" s="771"/>
      <c r="BH79" s="279" t="e">
        <f t="shared" si="18"/>
        <v>#REF!</v>
      </c>
      <c r="BI79" s="772" t="e">
        <f t="shared" si="19"/>
        <v>#REF!</v>
      </c>
      <c r="BJ79" s="773"/>
      <c r="BK79" s="774" t="e">
        <f>IF(BR79&gt;0,CHOOSE(MATCH(RegimeExecucao,{"Unitário","Global"},0),IF($A79="S",BR79/BN79,""),(BR79/BN79)*100),"")</f>
        <v>#REF!</v>
      </c>
      <c r="BL79" s="775"/>
      <c r="BM79" s="776"/>
      <c r="BN79" s="777" t="e">
        <f>IF(BR79&gt;0,CHOOSE(MATCH(RegimeExecucao,{"Unitário","Global"},0),IF($A79="S",ROUND(P79,arredunit),""),ROUND(R79,arredtot)),"")</f>
        <v>#REF!</v>
      </c>
      <c r="BO79" s="778"/>
      <c r="BP79" s="778"/>
      <c r="BQ79" s="779"/>
      <c r="BR79" s="777" t="e">
        <f t="shared" si="1"/>
        <v>#REF!</v>
      </c>
      <c r="BS79" s="778"/>
      <c r="BT79" s="778"/>
      <c r="BU79" s="779"/>
      <c r="BV79" s="780"/>
      <c r="BW79" s="780"/>
      <c r="BX79" s="780"/>
      <c r="BY79" s="780"/>
      <c r="BZ79" s="780"/>
      <c r="CA79" s="781"/>
      <c r="CB79" s="245"/>
      <c r="CC79" s="245"/>
    </row>
    <row r="80" spans="1:81" s="222" customFormat="1" ht="13.8">
      <c r="A80" s="222">
        <f t="shared" si="12"/>
        <v>1</v>
      </c>
      <c r="B80" s="222">
        <f t="shared" ca="1" si="13"/>
        <v>10</v>
      </c>
      <c r="C80" s="222">
        <f t="shared" ca="1" si="2"/>
        <v>11</v>
      </c>
      <c r="D80" s="222">
        <f t="shared" ca="1" si="3"/>
        <v>0</v>
      </c>
      <c r="E80" s="222">
        <f t="shared" ca="1" si="4"/>
        <v>0</v>
      </c>
      <c r="F80" s="222">
        <f t="shared" ca="1" si="5"/>
        <v>0</v>
      </c>
      <c r="G80" s="222">
        <f t="shared" ca="1" si="6"/>
        <v>0</v>
      </c>
      <c r="H80" s="222">
        <f t="shared" ca="1" si="7"/>
        <v>16</v>
      </c>
      <c r="I80" s="222">
        <f t="shared" ca="1" si="8"/>
        <v>10</v>
      </c>
      <c r="J80" s="222">
        <f t="shared" si="9"/>
        <v>0</v>
      </c>
      <c r="K80" s="269" t="str">
        <f>CHOOSE(1+LOG(1+2*($J80=3)+4*($J80=2)+8*($J80=1)+16*(AND($L80&lt;&gt;"",$L80&lt;&gt;0,$J80=0))+32*OR($N80&lt;&gt;"",RegimeExecucao="Global",AND($L80="",$M80="",$N80="")),2),"","Nível 4","Nível 3","Nível 2","Meta","Serviço")</f>
        <v>Meta</v>
      </c>
      <c r="L80" s="324">
        <v>11</v>
      </c>
      <c r="M80" s="325" t="s">
        <v>158</v>
      </c>
      <c r="N80" s="326"/>
      <c r="O80" s="327"/>
      <c r="P80" s="328"/>
      <c r="Q80" s="329">
        <f t="shared" si="14"/>
        <v>75679.460000000006</v>
      </c>
      <c r="R80" s="330">
        <f>SUM(R81:R89)</f>
        <v>75679.460000000006</v>
      </c>
      <c r="S80" s="331">
        <f>Z80+AA80</f>
        <v>0</v>
      </c>
      <c r="T80" s="337">
        <f>AB80</f>
        <v>0</v>
      </c>
      <c r="U80" s="332">
        <f t="shared" si="21"/>
        <v>0</v>
      </c>
      <c r="V80" s="338">
        <f>SUM(V81:V89)</f>
        <v>0</v>
      </c>
      <c r="W80" s="339">
        <f>SUM(W81:W89)</f>
        <v>0</v>
      </c>
      <c r="X80" s="340">
        <f t="shared" si="23"/>
        <v>0</v>
      </c>
      <c r="Y80" s="333"/>
      <c r="Z80" s="334"/>
      <c r="AA80" s="328"/>
      <c r="AB80" s="328"/>
      <c r="AC80" s="328"/>
      <c r="AD80" s="328"/>
      <c r="AE80" s="328"/>
      <c r="AF80" s="328"/>
      <c r="AG80" s="328"/>
      <c r="AH80" s="328"/>
      <c r="AI80" s="328"/>
      <c r="AJ80" s="328"/>
      <c r="AK80" s="335"/>
      <c r="AL80" s="334"/>
      <c r="AM80" s="328"/>
      <c r="AN80" s="328"/>
      <c r="AO80" s="328"/>
      <c r="AP80" s="328"/>
      <c r="AQ80" s="271"/>
      <c r="AR80" s="271"/>
      <c r="AS80" s="271"/>
      <c r="AT80" s="271"/>
      <c r="AU80" s="271"/>
      <c r="AV80" s="271"/>
      <c r="AW80" s="272"/>
      <c r="AX80" s="245"/>
      <c r="AY80" s="273">
        <v>0</v>
      </c>
      <c r="AZ80" s="274">
        <f t="shared" si="15"/>
        <v>0</v>
      </c>
      <c r="BA80" s="275">
        <v>0</v>
      </c>
      <c r="BB80" s="276" t="e">
        <f t="shared" ca="1" si="10"/>
        <v>#REF!</v>
      </c>
      <c r="BC80" s="277" t="e">
        <f t="shared" ca="1" si="16"/>
        <v>#REF!</v>
      </c>
      <c r="BD80" s="278" t="e">
        <f t="shared" ca="1" si="11"/>
        <v>#REF!</v>
      </c>
      <c r="BF80" s="770" t="e">
        <f t="shared" ca="1" si="17"/>
        <v>#REF!</v>
      </c>
      <c r="BG80" s="771"/>
      <c r="BH80" s="279" t="e">
        <f t="shared" ca="1" si="18"/>
        <v>#REF!</v>
      </c>
      <c r="BI80" s="772" t="e">
        <f t="shared" ca="1" si="19"/>
        <v>#REF!</v>
      </c>
      <c r="BJ80" s="773"/>
      <c r="BK80" s="774" t="e">
        <f ca="1">IF(BR80&gt;0,CHOOSE(MATCH(RegimeExecucao,{"Unitário","Global"},0),IF($A80="S",BR80/BN80,""),(BR80/BN80)*100),"")</f>
        <v>#REF!</v>
      </c>
      <c r="BL80" s="775"/>
      <c r="BM80" s="776"/>
      <c r="BN80" s="777" t="e">
        <f ca="1">IF(BR80&gt;0,CHOOSE(MATCH(RegimeExecucao,{"Unitário","Global"},0),IF($A80="S",ROUND(P80,arredunit),""),ROUND(R80,arredtot)),"")</f>
        <v>#REF!</v>
      </c>
      <c r="BO80" s="778"/>
      <c r="BP80" s="778"/>
      <c r="BQ80" s="779"/>
      <c r="BR80" s="777" t="e">
        <f t="shared" ca="1" si="1"/>
        <v>#REF!</v>
      </c>
      <c r="BS80" s="778"/>
      <c r="BT80" s="778"/>
      <c r="BU80" s="779"/>
      <c r="BV80" s="780"/>
      <c r="BW80" s="780"/>
      <c r="BX80" s="780"/>
      <c r="BY80" s="780"/>
      <c r="BZ80" s="780"/>
      <c r="CA80" s="781"/>
      <c r="CB80" s="245"/>
      <c r="CC80" s="245"/>
    </row>
    <row r="81" spans="1:81" s="222" customFormat="1" ht="13.8">
      <c r="A81" s="222" t="str">
        <f t="shared" si="12"/>
        <v>S</v>
      </c>
      <c r="B81" s="222">
        <f t="shared" si="13"/>
        <v>0</v>
      </c>
      <c r="C81" s="222">
        <f t="shared" ca="1" si="2"/>
        <v>11</v>
      </c>
      <c r="D81" s="222">
        <f t="shared" ca="1" si="3"/>
        <v>0</v>
      </c>
      <c r="E81" s="222">
        <f t="shared" ca="1" si="4"/>
        <v>0</v>
      </c>
      <c r="F81" s="222">
        <f t="shared" ca="1" si="5"/>
        <v>0</v>
      </c>
      <c r="G81" s="222">
        <f t="shared" ca="1" si="6"/>
        <v>1</v>
      </c>
      <c r="H81" s="222">
        <f t="shared" ca="1" si="7"/>
        <v>0</v>
      </c>
      <c r="I81" s="222">
        <f t="shared" ca="1" si="8"/>
        <v>0</v>
      </c>
      <c r="J81" s="222">
        <f t="shared" si="9"/>
        <v>1</v>
      </c>
      <c r="K81" s="269" t="s">
        <v>4</v>
      </c>
      <c r="L81" s="336" t="s">
        <v>159</v>
      </c>
      <c r="M81" s="325" t="s">
        <v>160</v>
      </c>
      <c r="N81" s="326" t="s">
        <v>43</v>
      </c>
      <c r="O81" s="327">
        <v>386.9</v>
      </c>
      <c r="P81" s="328">
        <v>168.20987335228742</v>
      </c>
      <c r="Q81" s="329">
        <f t="shared" si="14"/>
        <v>0</v>
      </c>
      <c r="R81" s="330">
        <f t="shared" si="20"/>
        <v>65080.399999999994</v>
      </c>
      <c r="S81" s="331">
        <f t="shared" si="33"/>
        <v>0</v>
      </c>
      <c r="T81" s="337">
        <f t="shared" si="31"/>
        <v>0</v>
      </c>
      <c r="U81" s="332">
        <f t="shared" si="21"/>
        <v>0</v>
      </c>
      <c r="V81" s="338">
        <f t="shared" si="32"/>
        <v>0</v>
      </c>
      <c r="W81" s="339">
        <f t="shared" si="22"/>
        <v>0</v>
      </c>
      <c r="X81" s="340">
        <f t="shared" si="23"/>
        <v>0</v>
      </c>
      <c r="Y81" s="333"/>
      <c r="Z81" s="334"/>
      <c r="AA81" s="328"/>
      <c r="AB81" s="328"/>
      <c r="AC81" s="328"/>
      <c r="AD81" s="328"/>
      <c r="AE81" s="328"/>
      <c r="AF81" s="328"/>
      <c r="AG81" s="328"/>
      <c r="AH81" s="328"/>
      <c r="AI81" s="328"/>
      <c r="AJ81" s="328"/>
      <c r="AK81" s="335"/>
      <c r="AL81" s="334"/>
      <c r="AM81" s="328"/>
      <c r="AN81" s="328"/>
      <c r="AO81" s="328"/>
      <c r="AP81" s="328"/>
      <c r="AQ81" s="271"/>
      <c r="AR81" s="271"/>
      <c r="AS81" s="271"/>
      <c r="AT81" s="271"/>
      <c r="AU81" s="271"/>
      <c r="AV81" s="271"/>
      <c r="AW81" s="272"/>
      <c r="AX81" s="245"/>
      <c r="AY81" s="273">
        <v>0</v>
      </c>
      <c r="AZ81" s="274">
        <f t="shared" si="15"/>
        <v>0</v>
      </c>
      <c r="BA81" s="275">
        <v>0</v>
      </c>
      <c r="BB81" s="276" t="e">
        <f t="shared" si="10"/>
        <v>#REF!</v>
      </c>
      <c r="BC81" s="277" t="e">
        <f t="shared" si="16"/>
        <v>#REF!</v>
      </c>
      <c r="BD81" s="278" t="e">
        <f t="shared" si="11"/>
        <v>#REF!</v>
      </c>
      <c r="BF81" s="770" t="e">
        <f t="shared" si="17"/>
        <v>#REF!</v>
      </c>
      <c r="BG81" s="771"/>
      <c r="BH81" s="279" t="e">
        <f t="shared" si="18"/>
        <v>#REF!</v>
      </c>
      <c r="BI81" s="772" t="e">
        <f t="shared" si="19"/>
        <v>#REF!</v>
      </c>
      <c r="BJ81" s="773"/>
      <c r="BK81" s="774" t="e">
        <f>IF(BR81&gt;0,CHOOSE(MATCH(RegimeExecucao,{"Unitário","Global"},0),IF($A81="S",BR81/BN81,""),(BR81/BN81)*100),"")</f>
        <v>#REF!</v>
      </c>
      <c r="BL81" s="775"/>
      <c r="BM81" s="776"/>
      <c r="BN81" s="777" t="e">
        <f>IF(BR81&gt;0,CHOOSE(MATCH(RegimeExecucao,{"Unitário","Global"},0),IF($A81="S",ROUND(P81,arredunit),""),ROUND(R81,arredtot)),"")</f>
        <v>#REF!</v>
      </c>
      <c r="BO81" s="778"/>
      <c r="BP81" s="778"/>
      <c r="BQ81" s="779"/>
      <c r="BR81" s="777" t="e">
        <f t="shared" si="1"/>
        <v>#REF!</v>
      </c>
      <c r="BS81" s="778"/>
      <c r="BT81" s="778"/>
      <c r="BU81" s="779"/>
      <c r="BV81" s="780"/>
      <c r="BW81" s="780"/>
      <c r="BX81" s="780"/>
      <c r="BY81" s="780"/>
      <c r="BZ81" s="780"/>
      <c r="CA81" s="781"/>
      <c r="CB81" s="245"/>
      <c r="CC81" s="245"/>
    </row>
    <row r="82" spans="1:81" s="222" customFormat="1" ht="41.4">
      <c r="A82" s="222" t="str">
        <f t="shared" si="12"/>
        <v>S</v>
      </c>
      <c r="B82" s="222">
        <f t="shared" si="13"/>
        <v>0</v>
      </c>
      <c r="C82" s="222">
        <f t="shared" ca="1" si="2"/>
        <v>11</v>
      </c>
      <c r="D82" s="222">
        <f t="shared" ca="1" si="3"/>
        <v>0</v>
      </c>
      <c r="E82" s="222">
        <f t="shared" ca="1" si="4"/>
        <v>0</v>
      </c>
      <c r="F82" s="222">
        <f t="shared" ca="1" si="5"/>
        <v>0</v>
      </c>
      <c r="G82" s="222">
        <f t="shared" ca="1" si="6"/>
        <v>2</v>
      </c>
      <c r="H82" s="222">
        <f t="shared" ca="1" si="7"/>
        <v>0</v>
      </c>
      <c r="I82" s="222">
        <f t="shared" ca="1" si="8"/>
        <v>0</v>
      </c>
      <c r="J82" s="222">
        <f t="shared" si="9"/>
        <v>1</v>
      </c>
      <c r="K82" s="269" t="s">
        <v>4</v>
      </c>
      <c r="L82" s="336" t="s">
        <v>161</v>
      </c>
      <c r="M82" s="325" t="s">
        <v>162</v>
      </c>
      <c r="N82" s="326" t="s">
        <v>93</v>
      </c>
      <c r="O82" s="327">
        <v>8.0000939165551408</v>
      </c>
      <c r="P82" s="328">
        <v>425.91</v>
      </c>
      <c r="Q82" s="329">
        <f t="shared" si="14"/>
        <v>0</v>
      </c>
      <c r="R82" s="330">
        <f t="shared" si="20"/>
        <v>3407.32</v>
      </c>
      <c r="S82" s="331">
        <f t="shared" si="33"/>
        <v>0</v>
      </c>
      <c r="T82" s="337">
        <f t="shared" si="31"/>
        <v>0</v>
      </c>
      <c r="U82" s="332">
        <f t="shared" si="21"/>
        <v>0</v>
      </c>
      <c r="V82" s="338">
        <f t="shared" si="32"/>
        <v>0</v>
      </c>
      <c r="W82" s="339">
        <f t="shared" si="22"/>
        <v>0</v>
      </c>
      <c r="X82" s="340">
        <f t="shared" si="23"/>
        <v>0</v>
      </c>
      <c r="Y82" s="333"/>
      <c r="Z82" s="334"/>
      <c r="AA82" s="328"/>
      <c r="AB82" s="328"/>
      <c r="AC82" s="328"/>
      <c r="AD82" s="328"/>
      <c r="AE82" s="328"/>
      <c r="AF82" s="328"/>
      <c r="AG82" s="328"/>
      <c r="AH82" s="328"/>
      <c r="AI82" s="328"/>
      <c r="AJ82" s="328"/>
      <c r="AK82" s="335"/>
      <c r="AL82" s="334"/>
      <c r="AM82" s="328"/>
      <c r="AN82" s="328"/>
      <c r="AO82" s="328"/>
      <c r="AP82" s="328"/>
      <c r="AQ82" s="271"/>
      <c r="AR82" s="271"/>
      <c r="AS82" s="271"/>
      <c r="AT82" s="271"/>
      <c r="AU82" s="271"/>
      <c r="AV82" s="271"/>
      <c r="AW82" s="272"/>
      <c r="AX82" s="245"/>
      <c r="AY82" s="273">
        <v>0</v>
      </c>
      <c r="AZ82" s="274">
        <f t="shared" si="15"/>
        <v>0</v>
      </c>
      <c r="BA82" s="275">
        <v>0</v>
      </c>
      <c r="BB82" s="276" t="e">
        <f t="shared" si="10"/>
        <v>#REF!</v>
      </c>
      <c r="BC82" s="277" t="e">
        <f t="shared" si="16"/>
        <v>#REF!</v>
      </c>
      <c r="BD82" s="278" t="e">
        <f t="shared" si="11"/>
        <v>#REF!</v>
      </c>
      <c r="BF82" s="770" t="e">
        <f t="shared" si="17"/>
        <v>#REF!</v>
      </c>
      <c r="BG82" s="771"/>
      <c r="BH82" s="279" t="e">
        <f t="shared" si="18"/>
        <v>#REF!</v>
      </c>
      <c r="BI82" s="772" t="e">
        <f t="shared" si="19"/>
        <v>#REF!</v>
      </c>
      <c r="BJ82" s="773"/>
      <c r="BK82" s="774" t="e">
        <f>IF(BR82&gt;0,CHOOSE(MATCH(RegimeExecucao,{"Unitário","Global"},0),IF($A82="S",BR82/BN82,""),(BR82/BN82)*100),"")</f>
        <v>#REF!</v>
      </c>
      <c r="BL82" s="775"/>
      <c r="BM82" s="776"/>
      <c r="BN82" s="777" t="e">
        <f>IF(BR82&gt;0,CHOOSE(MATCH(RegimeExecucao,{"Unitário","Global"},0),IF($A82="S",ROUND(P82,arredunit),""),ROUND(R82,arredtot)),"")</f>
        <v>#REF!</v>
      </c>
      <c r="BO82" s="778"/>
      <c r="BP82" s="778"/>
      <c r="BQ82" s="779"/>
      <c r="BR82" s="777" t="e">
        <f t="shared" ref="BR82:BR94" si="34">$X82-$BD82</f>
        <v>#REF!</v>
      </c>
      <c r="BS82" s="778"/>
      <c r="BT82" s="778"/>
      <c r="BU82" s="779"/>
      <c r="BV82" s="780"/>
      <c r="BW82" s="780"/>
      <c r="BX82" s="780"/>
      <c r="BY82" s="780"/>
      <c r="BZ82" s="780"/>
      <c r="CA82" s="781"/>
      <c r="CB82" s="245"/>
      <c r="CC82" s="245"/>
    </row>
    <row r="83" spans="1:81" s="222" customFormat="1" ht="41.4">
      <c r="A83" s="222" t="str">
        <f t="shared" si="12"/>
        <v>S</v>
      </c>
      <c r="B83" s="222">
        <f t="shared" si="13"/>
        <v>0</v>
      </c>
      <c r="C83" s="222">
        <f t="shared" ref="C83:C94" ca="1" si="35">IF($A83=1,OFFSET(C83,-1,0)+1,OFFSET(C83,-1,0))</f>
        <v>11</v>
      </c>
      <c r="D83" s="222">
        <f t="shared" ref="D83:D94" ca="1" si="36">IF($A83=1,0,IF($A83=2,OFFSET(D83,-1,0)+1,OFFSET(D83,-1,0)))</f>
        <v>0</v>
      </c>
      <c r="E83" s="222">
        <f t="shared" ref="E83:E94" ca="1" si="37">IF(AND($A83&lt;=2,$A83&lt;&gt;0),0,IF($A83=3,OFFSET(E83,-1,0)+1,OFFSET(E83,-1,0)))</f>
        <v>0</v>
      </c>
      <c r="F83" s="222">
        <f t="shared" ref="F83:F94" ca="1" si="38">IF(AND($A83&lt;=3,$A83&lt;&gt;0),0,IF($A83=4,OFFSET(F83,-1,0)+1,OFFSET(F83,-1,0)))</f>
        <v>0</v>
      </c>
      <c r="G83" s="222">
        <f t="shared" ref="G83:G94" ca="1" si="39">IF(AND($A83&lt;=4,$A83&lt;&gt;0),0,IF($A83="S",OFFSET(G83,-1,0)+1,OFFSET(G83,-1,0)))</f>
        <v>3</v>
      </c>
      <c r="H83" s="222">
        <f t="shared" ref="H83:H94" ca="1" si="40">IF(OR($A83="S",$A83=0),0,MATCH(0,OFFSET($B83,1,$A83,ROW($A$96)-ROW($A83)),0))</f>
        <v>0</v>
      </c>
      <c r="I83" s="222">
        <f t="shared" ref="I83:I94" ca="1" si="41">IF(OR($A83="S",$A83=0),0,MATCH(OFFSET($B83,0,$A83)+1,OFFSET($B83,1,$A83,ROW($A$96)-ROW($A83)),0))</f>
        <v>0</v>
      </c>
      <c r="J83" s="222">
        <f t="shared" ref="J83:J94" si="42">LEN(LEFT($L83,LEN($L83)-1*(RIGHT($L83,1)=".")))-LEN(SUBSTITUTE(LEFT($L83,LEN($L83)-1*(RIGHT($L83,1)=".")),".",""))</f>
        <v>1</v>
      </c>
      <c r="K83" s="269" t="s">
        <v>4</v>
      </c>
      <c r="L83" s="336" t="s">
        <v>163</v>
      </c>
      <c r="M83" s="325" t="s">
        <v>164</v>
      </c>
      <c r="N83" s="326" t="s">
        <v>59</v>
      </c>
      <c r="O83" s="327">
        <v>360</v>
      </c>
      <c r="P83" s="328">
        <v>2.811638888888889</v>
      </c>
      <c r="Q83" s="329">
        <f t="shared" si="14"/>
        <v>0</v>
      </c>
      <c r="R83" s="330">
        <f t="shared" si="20"/>
        <v>1012.19</v>
      </c>
      <c r="S83" s="331">
        <f t="shared" si="33"/>
        <v>0</v>
      </c>
      <c r="T83" s="337">
        <f t="shared" si="31"/>
        <v>0</v>
      </c>
      <c r="U83" s="332">
        <f t="shared" si="21"/>
        <v>0</v>
      </c>
      <c r="V83" s="338">
        <f t="shared" si="32"/>
        <v>0</v>
      </c>
      <c r="W83" s="339">
        <f t="shared" si="22"/>
        <v>0</v>
      </c>
      <c r="X83" s="340">
        <f t="shared" si="23"/>
        <v>0</v>
      </c>
      <c r="Y83" s="333"/>
      <c r="Z83" s="334"/>
      <c r="AA83" s="328"/>
      <c r="AB83" s="328"/>
      <c r="AC83" s="328"/>
      <c r="AD83" s="328"/>
      <c r="AE83" s="328"/>
      <c r="AF83" s="328"/>
      <c r="AG83" s="328"/>
      <c r="AH83" s="328"/>
      <c r="AI83" s="328"/>
      <c r="AJ83" s="328"/>
      <c r="AK83" s="335"/>
      <c r="AL83" s="334"/>
      <c r="AM83" s="328"/>
      <c r="AN83" s="328"/>
      <c r="AO83" s="328"/>
      <c r="AP83" s="328"/>
      <c r="AQ83" s="271"/>
      <c r="AR83" s="271"/>
      <c r="AS83" s="271"/>
      <c r="AT83" s="271"/>
      <c r="AU83" s="271"/>
      <c r="AV83" s="271"/>
      <c r="AW83" s="272"/>
      <c r="AX83" s="245"/>
      <c r="AY83" s="273">
        <v>0</v>
      </c>
      <c r="AZ83" s="274">
        <f t="shared" si="15"/>
        <v>0</v>
      </c>
      <c r="BA83" s="275">
        <v>0</v>
      </c>
      <c r="BB83" s="276" t="e">
        <f>IF($A83="S",VTOTAL,IF($A83=0,0,ROUND(SomaAgrup,arredtot)))</f>
        <v>#REF!</v>
      </c>
      <c r="BC83" s="277" t="e">
        <f t="shared" si="16"/>
        <v>#REF!</v>
      </c>
      <c r="BD83" s="278" t="e">
        <f>IF($A83="S",VTOTAL,IF($A83=0,0,ROUND(SomaAgrup,arredtot)))</f>
        <v>#REF!</v>
      </c>
      <c r="BF83" s="770" t="e">
        <f t="shared" si="17"/>
        <v>#REF!</v>
      </c>
      <c r="BG83" s="771"/>
      <c r="BH83" s="279" t="e">
        <f t="shared" si="18"/>
        <v>#REF!</v>
      </c>
      <c r="BI83" s="772" t="e">
        <f t="shared" si="19"/>
        <v>#REF!</v>
      </c>
      <c r="BJ83" s="773"/>
      <c r="BK83" s="774" t="e">
        <f>IF(BR83&gt;0,CHOOSE(MATCH(RegimeExecucao,{"Unitário","Global"},0),IF($A83="S",BR83/BN83,""),(BR83/BN83)*100),"")</f>
        <v>#REF!</v>
      </c>
      <c r="BL83" s="775"/>
      <c r="BM83" s="776"/>
      <c r="BN83" s="777" t="e">
        <f>IF(BR83&gt;0,CHOOSE(MATCH(RegimeExecucao,{"Unitário","Global"},0),IF($A83="S",ROUND(P83,arredunit),""),ROUND(R83,arredtot)),"")</f>
        <v>#REF!</v>
      </c>
      <c r="BO83" s="778"/>
      <c r="BP83" s="778"/>
      <c r="BQ83" s="779"/>
      <c r="BR83" s="777" t="e">
        <f t="shared" si="34"/>
        <v>#REF!</v>
      </c>
      <c r="BS83" s="778"/>
      <c r="BT83" s="778"/>
      <c r="BU83" s="779"/>
      <c r="BV83" s="780"/>
      <c r="BW83" s="780"/>
      <c r="BX83" s="780"/>
      <c r="BY83" s="780"/>
      <c r="BZ83" s="780"/>
      <c r="CA83" s="781"/>
      <c r="CB83" s="245"/>
      <c r="CC83" s="245"/>
    </row>
    <row r="84" spans="1:81" s="222" customFormat="1" ht="41.4">
      <c r="A84" s="222" t="str">
        <f t="shared" ref="A84:A94" si="43">CHOOSE(1+LOG(1+2*(K84="Meta")+4*(K84="Nível 2")+8*(K84="Nível 3")+16*(K84="Nível 4")+32*(K84="Serviço"),2),0,1,2,3,4,"S")</f>
        <v>S</v>
      </c>
      <c r="B84" s="222">
        <f t="shared" ref="B84:B94" si="44">IF(OR(A84="S",A84=0),0,IF(ISERROR(I84),H84,SMALL(H84:I84,1)))</f>
        <v>0</v>
      </c>
      <c r="C84" s="222">
        <f t="shared" ca="1" si="35"/>
        <v>11</v>
      </c>
      <c r="D84" s="222">
        <f t="shared" ca="1" si="36"/>
        <v>0</v>
      </c>
      <c r="E84" s="222">
        <f t="shared" ca="1" si="37"/>
        <v>0</v>
      </c>
      <c r="F84" s="222">
        <f t="shared" ca="1" si="38"/>
        <v>0</v>
      </c>
      <c r="G84" s="222">
        <f t="shared" ca="1" si="39"/>
        <v>4</v>
      </c>
      <c r="H84" s="222">
        <f t="shared" ca="1" si="40"/>
        <v>0</v>
      </c>
      <c r="I84" s="222">
        <f t="shared" ca="1" si="41"/>
        <v>0</v>
      </c>
      <c r="J84" s="222">
        <f t="shared" si="42"/>
        <v>1</v>
      </c>
      <c r="K84" s="269" t="s">
        <v>4</v>
      </c>
      <c r="L84" s="336" t="s">
        <v>165</v>
      </c>
      <c r="M84" s="325" t="s">
        <v>166</v>
      </c>
      <c r="N84" s="326" t="s">
        <v>59</v>
      </c>
      <c r="O84" s="327">
        <v>150</v>
      </c>
      <c r="P84" s="328">
        <v>8.1547333333333345</v>
      </c>
      <c r="Q84" s="329">
        <f t="shared" ref="Q84:Q94" si="45">IF($A84="S",0,$R84)</f>
        <v>0</v>
      </c>
      <c r="R84" s="330">
        <f t="shared" si="20"/>
        <v>1223.2100000000003</v>
      </c>
      <c r="S84" s="331">
        <f t="shared" si="33"/>
        <v>0</v>
      </c>
      <c r="T84" s="337">
        <f t="shared" si="31"/>
        <v>0</v>
      </c>
      <c r="U84" s="332">
        <f t="shared" si="21"/>
        <v>0</v>
      </c>
      <c r="V84" s="338">
        <f t="shared" si="32"/>
        <v>0</v>
      </c>
      <c r="W84" s="339">
        <f t="shared" si="22"/>
        <v>0</v>
      </c>
      <c r="X84" s="340">
        <f t="shared" si="23"/>
        <v>0</v>
      </c>
      <c r="Y84" s="333"/>
      <c r="Z84" s="334"/>
      <c r="AA84" s="328"/>
      <c r="AB84" s="328"/>
      <c r="AC84" s="328"/>
      <c r="AD84" s="328"/>
      <c r="AE84" s="328"/>
      <c r="AF84" s="328"/>
      <c r="AG84" s="328"/>
      <c r="AH84" s="328"/>
      <c r="AI84" s="328"/>
      <c r="AJ84" s="328"/>
      <c r="AK84" s="335"/>
      <c r="AL84" s="334"/>
      <c r="AM84" s="328"/>
      <c r="AN84" s="328"/>
      <c r="AO84" s="328"/>
      <c r="AP84" s="328"/>
      <c r="AQ84" s="271"/>
      <c r="AR84" s="271"/>
      <c r="AS84" s="271"/>
      <c r="AT84" s="271"/>
      <c r="AU84" s="271"/>
      <c r="AV84" s="271"/>
      <c r="AW84" s="272"/>
      <c r="AX84" s="245"/>
      <c r="AY84" s="273">
        <v>0</v>
      </c>
      <c r="AZ84" s="274">
        <f t="shared" ref="AZ84:AZ94" si="46">BA84-AY84</f>
        <v>0</v>
      </c>
      <c r="BA84" s="275">
        <v>0</v>
      </c>
      <c r="BB84" s="276" t="e">
        <f>IF($A84="S",VTOTAL,IF($A84=0,0,ROUND(SomaAgrup,arredtot)))</f>
        <v>#REF!</v>
      </c>
      <c r="BC84" s="277" t="e">
        <f t="shared" ref="BC84:BC94" si="47">BD84-BB84</f>
        <v>#REF!</v>
      </c>
      <c r="BD84" s="278" t="e">
        <f>IF($A84="S",VTOTAL,IF($A84=0,0,ROUND(SomaAgrup,arredtot)))</f>
        <v>#REF!</v>
      </c>
      <c r="BF84" s="770" t="e">
        <f t="shared" ref="BF84:BF94" si="48">IF(BK84&gt;0,L84,"")</f>
        <v>#REF!</v>
      </c>
      <c r="BG84" s="771"/>
      <c r="BH84" s="279" t="e">
        <f t="shared" ref="BH84:BH94" si="49">IF(BK84&gt;0,M84,"")</f>
        <v>#REF!</v>
      </c>
      <c r="BI84" s="772" t="e">
        <f t="shared" ref="BI84:BI94" si="50">IF(BK84&gt;0,N84,"")</f>
        <v>#REF!</v>
      </c>
      <c r="BJ84" s="773"/>
      <c r="BK84" s="774" t="e">
        <f>IF(BR84&gt;0,CHOOSE(MATCH(RegimeExecucao,{"Unitário","Global"},0),IF($A84="S",BR84/BN84,""),(BR84/BN84)*100),"")</f>
        <v>#REF!</v>
      </c>
      <c r="BL84" s="775"/>
      <c r="BM84" s="776"/>
      <c r="BN84" s="777" t="e">
        <f>IF(BR84&gt;0,CHOOSE(MATCH(RegimeExecucao,{"Unitário","Global"},0),IF($A84="S",ROUND(P84,arredunit),""),ROUND(R84,arredtot)),"")</f>
        <v>#REF!</v>
      </c>
      <c r="BO84" s="778"/>
      <c r="BP84" s="778"/>
      <c r="BQ84" s="779"/>
      <c r="BR84" s="777" t="e">
        <f t="shared" si="34"/>
        <v>#REF!</v>
      </c>
      <c r="BS84" s="778"/>
      <c r="BT84" s="778"/>
      <c r="BU84" s="779"/>
      <c r="BV84" s="780"/>
      <c r="BW84" s="780"/>
      <c r="BX84" s="780"/>
      <c r="BY84" s="780"/>
      <c r="BZ84" s="780"/>
      <c r="CA84" s="781"/>
      <c r="CB84" s="245"/>
      <c r="CC84" s="245"/>
    </row>
    <row r="85" spans="1:81" s="222" customFormat="1" ht="27.6">
      <c r="A85" s="222" t="str">
        <f t="shared" si="43"/>
        <v>S</v>
      </c>
      <c r="B85" s="222">
        <f t="shared" si="44"/>
        <v>0</v>
      </c>
      <c r="C85" s="222">
        <f t="shared" ca="1" si="35"/>
        <v>11</v>
      </c>
      <c r="D85" s="222">
        <f t="shared" ca="1" si="36"/>
        <v>0</v>
      </c>
      <c r="E85" s="222">
        <f t="shared" ca="1" si="37"/>
        <v>0</v>
      </c>
      <c r="F85" s="222">
        <f t="shared" ca="1" si="38"/>
        <v>0</v>
      </c>
      <c r="G85" s="222">
        <f t="shared" ca="1" si="39"/>
        <v>5</v>
      </c>
      <c r="H85" s="222">
        <f t="shared" ca="1" si="40"/>
        <v>0</v>
      </c>
      <c r="I85" s="222">
        <f t="shared" ca="1" si="41"/>
        <v>0</v>
      </c>
      <c r="J85" s="222">
        <f t="shared" si="42"/>
        <v>1</v>
      </c>
      <c r="K85" s="269" t="s">
        <v>4</v>
      </c>
      <c r="L85" s="336" t="s">
        <v>167</v>
      </c>
      <c r="M85" s="325" t="s">
        <v>168</v>
      </c>
      <c r="N85" s="326" t="s">
        <v>93</v>
      </c>
      <c r="O85" s="327">
        <v>8.9990196078431381</v>
      </c>
      <c r="P85" s="328">
        <v>20.399999999999999</v>
      </c>
      <c r="Q85" s="329">
        <f t="shared" si="45"/>
        <v>0</v>
      </c>
      <c r="R85" s="330">
        <f t="shared" ref="R85:R95" si="51">P85*O85</f>
        <v>183.58</v>
      </c>
      <c r="S85" s="331">
        <f t="shared" si="33"/>
        <v>0</v>
      </c>
      <c r="T85" s="337">
        <f t="shared" si="31"/>
        <v>0</v>
      </c>
      <c r="U85" s="332">
        <f t="shared" ref="U85:U95" si="52">S85+T85</f>
        <v>0</v>
      </c>
      <c r="V85" s="338">
        <f t="shared" si="32"/>
        <v>0</v>
      </c>
      <c r="W85" s="339">
        <f t="shared" ref="W85:W95" si="53">IF(O85-AB85&gt;0.01,AB85*P85,R85)</f>
        <v>0</v>
      </c>
      <c r="X85" s="340">
        <f t="shared" ref="X85:X95" si="54">V85+W85</f>
        <v>0</v>
      </c>
      <c r="Y85" s="333"/>
      <c r="Z85" s="334"/>
      <c r="AA85" s="328"/>
      <c r="AB85" s="328"/>
      <c r="AC85" s="328"/>
      <c r="AD85" s="328"/>
      <c r="AE85" s="328"/>
      <c r="AF85" s="328"/>
      <c r="AG85" s="328"/>
      <c r="AH85" s="328"/>
      <c r="AI85" s="328"/>
      <c r="AJ85" s="328"/>
      <c r="AK85" s="335"/>
      <c r="AL85" s="334"/>
      <c r="AM85" s="328"/>
      <c r="AN85" s="328"/>
      <c r="AO85" s="328"/>
      <c r="AP85" s="328"/>
      <c r="AQ85" s="271"/>
      <c r="AR85" s="271"/>
      <c r="AS85" s="271"/>
      <c r="AT85" s="271"/>
      <c r="AU85" s="271"/>
      <c r="AV85" s="271"/>
      <c r="AW85" s="272"/>
      <c r="AX85" s="245"/>
      <c r="AY85" s="273">
        <v>0</v>
      </c>
      <c r="AZ85" s="274">
        <f t="shared" si="46"/>
        <v>0</v>
      </c>
      <c r="BA85" s="275">
        <v>0</v>
      </c>
      <c r="BB85" s="276" t="e">
        <f>IF($A85="S",VTOTAL,IF($A85=0,0,ROUND(SomaAgrup,arredtot)))</f>
        <v>#REF!</v>
      </c>
      <c r="BC85" s="277" t="e">
        <f t="shared" si="47"/>
        <v>#REF!</v>
      </c>
      <c r="BD85" s="278" t="e">
        <f>IF($A85="S",VTOTAL,IF($A85=0,0,ROUND(SomaAgrup,arredtot)))</f>
        <v>#REF!</v>
      </c>
      <c r="BF85" s="770" t="e">
        <f t="shared" si="48"/>
        <v>#REF!</v>
      </c>
      <c r="BG85" s="771"/>
      <c r="BH85" s="279" t="e">
        <f t="shared" si="49"/>
        <v>#REF!</v>
      </c>
      <c r="BI85" s="772" t="e">
        <f t="shared" si="50"/>
        <v>#REF!</v>
      </c>
      <c r="BJ85" s="773"/>
      <c r="BK85" s="774" t="e">
        <f>IF(BR85&gt;0,CHOOSE(MATCH(RegimeExecucao,{"Unitário","Global"},0),IF($A85="S",BR85/BN85,""),(BR85/BN85)*100),"")</f>
        <v>#REF!</v>
      </c>
      <c r="BL85" s="775"/>
      <c r="BM85" s="776"/>
      <c r="BN85" s="777" t="e">
        <f>IF(BR85&gt;0,CHOOSE(MATCH(RegimeExecucao,{"Unitário","Global"},0),IF($A85="S",ROUND(P85,arredunit),""),ROUND(R85,arredtot)),"")</f>
        <v>#REF!</v>
      </c>
      <c r="BO85" s="778"/>
      <c r="BP85" s="778"/>
      <c r="BQ85" s="779"/>
      <c r="BR85" s="777" t="e">
        <f t="shared" si="34"/>
        <v>#REF!</v>
      </c>
      <c r="BS85" s="778"/>
      <c r="BT85" s="778"/>
      <c r="BU85" s="779"/>
      <c r="BV85" s="780"/>
      <c r="BW85" s="780"/>
      <c r="BX85" s="780"/>
      <c r="BY85" s="780"/>
      <c r="BZ85" s="780"/>
      <c r="CA85" s="781"/>
      <c r="CB85" s="245"/>
      <c r="CC85" s="245"/>
    </row>
    <row r="86" spans="1:81" s="222" customFormat="1" ht="27.6">
      <c r="A86" s="222" t="str">
        <f t="shared" si="43"/>
        <v>S</v>
      </c>
      <c r="B86" s="222">
        <f t="shared" si="44"/>
        <v>0</v>
      </c>
      <c r="C86" s="222">
        <f t="shared" ca="1" si="35"/>
        <v>11</v>
      </c>
      <c r="D86" s="222">
        <f t="shared" ca="1" si="36"/>
        <v>0</v>
      </c>
      <c r="E86" s="222">
        <f t="shared" ca="1" si="37"/>
        <v>0</v>
      </c>
      <c r="F86" s="222">
        <f t="shared" ca="1" si="38"/>
        <v>0</v>
      </c>
      <c r="G86" s="222">
        <f t="shared" ca="1" si="39"/>
        <v>6</v>
      </c>
      <c r="H86" s="222">
        <f t="shared" ca="1" si="40"/>
        <v>0</v>
      </c>
      <c r="I86" s="222">
        <f t="shared" ca="1" si="41"/>
        <v>0</v>
      </c>
      <c r="J86" s="222">
        <f t="shared" si="42"/>
        <v>1</v>
      </c>
      <c r="K86" s="269" t="s">
        <v>4</v>
      </c>
      <c r="L86" s="336" t="s">
        <v>169</v>
      </c>
      <c r="M86" s="325" t="s">
        <v>170</v>
      </c>
      <c r="N86" s="326" t="s">
        <v>93</v>
      </c>
      <c r="O86" s="327">
        <v>8.0000804812780419</v>
      </c>
      <c r="P86" s="328">
        <v>497.01</v>
      </c>
      <c r="Q86" s="329">
        <f t="shared" si="45"/>
        <v>0</v>
      </c>
      <c r="R86" s="330">
        <f t="shared" si="51"/>
        <v>3976.1199999999994</v>
      </c>
      <c r="S86" s="331">
        <f t="shared" si="33"/>
        <v>0</v>
      </c>
      <c r="T86" s="337">
        <f t="shared" si="31"/>
        <v>0</v>
      </c>
      <c r="U86" s="332">
        <f t="shared" si="52"/>
        <v>0</v>
      </c>
      <c r="V86" s="338">
        <f t="shared" si="32"/>
        <v>0</v>
      </c>
      <c r="W86" s="339">
        <f t="shared" si="53"/>
        <v>0</v>
      </c>
      <c r="X86" s="340">
        <f t="shared" si="54"/>
        <v>0</v>
      </c>
      <c r="Y86" s="333"/>
      <c r="Z86" s="334"/>
      <c r="AA86" s="328"/>
      <c r="AB86" s="328"/>
      <c r="AC86" s="328"/>
      <c r="AD86" s="328"/>
      <c r="AE86" s="328"/>
      <c r="AF86" s="328"/>
      <c r="AG86" s="328"/>
      <c r="AH86" s="328"/>
      <c r="AI86" s="328"/>
      <c r="AJ86" s="328"/>
      <c r="AK86" s="335"/>
      <c r="AL86" s="334"/>
      <c r="AM86" s="328"/>
      <c r="AN86" s="328"/>
      <c r="AO86" s="328"/>
      <c r="AP86" s="328"/>
      <c r="AQ86" s="271"/>
      <c r="AR86" s="271"/>
      <c r="AS86" s="271"/>
      <c r="AT86" s="271"/>
      <c r="AU86" s="271"/>
      <c r="AV86" s="271"/>
      <c r="AW86" s="272"/>
      <c r="AX86" s="245"/>
      <c r="AY86" s="273">
        <v>0</v>
      </c>
      <c r="AZ86" s="274">
        <f t="shared" si="46"/>
        <v>0</v>
      </c>
      <c r="BA86" s="275">
        <v>0</v>
      </c>
      <c r="BB86" s="276" t="e">
        <f>IF($A86="S",VTOTAL,IF($A86=0,0,ROUND(SomaAgrup,arredtot)))</f>
        <v>#REF!</v>
      </c>
      <c r="BC86" s="277" t="e">
        <f t="shared" si="47"/>
        <v>#REF!</v>
      </c>
      <c r="BD86" s="278" t="e">
        <f>IF($A86="S",VTOTAL,IF($A86=0,0,ROUND(SomaAgrup,arredtot)))</f>
        <v>#REF!</v>
      </c>
      <c r="BF86" s="770" t="e">
        <f t="shared" si="48"/>
        <v>#REF!</v>
      </c>
      <c r="BG86" s="771"/>
      <c r="BH86" s="279" t="e">
        <f t="shared" si="49"/>
        <v>#REF!</v>
      </c>
      <c r="BI86" s="772" t="e">
        <f t="shared" si="50"/>
        <v>#REF!</v>
      </c>
      <c r="BJ86" s="773"/>
      <c r="BK86" s="774" t="e">
        <f>IF(BR86&gt;0,CHOOSE(MATCH(RegimeExecucao,{"Unitário","Global"},0),IF($A86="S",BR86/BN86,""),(BR86/BN86)*100),"")</f>
        <v>#REF!</v>
      </c>
      <c r="BL86" s="775"/>
      <c r="BM86" s="776"/>
      <c r="BN86" s="777" t="e">
        <f>IF(BR86&gt;0,CHOOSE(MATCH(RegimeExecucao,{"Unitário","Global"},0),IF($A86="S",ROUND(P86,arredunit),""),ROUND(R86,arredtot)),"")</f>
        <v>#REF!</v>
      </c>
      <c r="BO86" s="778"/>
      <c r="BP86" s="778"/>
      <c r="BQ86" s="779"/>
      <c r="BR86" s="777" t="e">
        <f t="shared" si="34"/>
        <v>#REF!</v>
      </c>
      <c r="BS86" s="778"/>
      <c r="BT86" s="778"/>
      <c r="BU86" s="779"/>
      <c r="BV86" s="780"/>
      <c r="BW86" s="780"/>
      <c r="BX86" s="780"/>
      <c r="BY86" s="780"/>
      <c r="BZ86" s="780"/>
      <c r="CA86" s="781"/>
      <c r="CB86" s="245"/>
      <c r="CC86" s="245"/>
    </row>
    <row r="87" spans="1:81" s="222" customFormat="1" ht="27.6">
      <c r="A87" s="222" t="str">
        <f t="shared" si="43"/>
        <v>S</v>
      </c>
      <c r="B87" s="222">
        <f t="shared" si="44"/>
        <v>0</v>
      </c>
      <c r="C87" s="222">
        <f t="shared" ca="1" si="35"/>
        <v>11</v>
      </c>
      <c r="D87" s="222">
        <f t="shared" ca="1" si="36"/>
        <v>0</v>
      </c>
      <c r="E87" s="222">
        <f t="shared" ca="1" si="37"/>
        <v>0</v>
      </c>
      <c r="F87" s="222">
        <f t="shared" ca="1" si="38"/>
        <v>0</v>
      </c>
      <c r="G87" s="222">
        <f t="shared" ca="1" si="39"/>
        <v>7</v>
      </c>
      <c r="H87" s="222">
        <f t="shared" ca="1" si="40"/>
        <v>0</v>
      </c>
      <c r="I87" s="222">
        <f t="shared" ca="1" si="41"/>
        <v>0</v>
      </c>
      <c r="J87" s="222">
        <f t="shared" si="42"/>
        <v>1</v>
      </c>
      <c r="K87" s="269" t="s">
        <v>4</v>
      </c>
      <c r="L87" s="336" t="s">
        <v>171</v>
      </c>
      <c r="M87" s="325" t="s">
        <v>172</v>
      </c>
      <c r="N87" s="326" t="s">
        <v>93</v>
      </c>
      <c r="O87" s="327">
        <v>8</v>
      </c>
      <c r="P87" s="328">
        <v>6.9612499999999997</v>
      </c>
      <c r="Q87" s="329">
        <f t="shared" si="45"/>
        <v>0</v>
      </c>
      <c r="R87" s="330">
        <f t="shared" si="51"/>
        <v>55.69</v>
      </c>
      <c r="S87" s="331">
        <f t="shared" si="33"/>
        <v>0</v>
      </c>
      <c r="T87" s="337">
        <f t="shared" si="31"/>
        <v>0</v>
      </c>
      <c r="U87" s="332">
        <f t="shared" si="52"/>
        <v>0</v>
      </c>
      <c r="V87" s="338">
        <f t="shared" si="32"/>
        <v>0</v>
      </c>
      <c r="W87" s="339">
        <f t="shared" si="53"/>
        <v>0</v>
      </c>
      <c r="X87" s="340">
        <f t="shared" si="54"/>
        <v>0</v>
      </c>
      <c r="Y87" s="333"/>
      <c r="Z87" s="334"/>
      <c r="AA87" s="328"/>
      <c r="AB87" s="328"/>
      <c r="AC87" s="328"/>
      <c r="AD87" s="328"/>
      <c r="AE87" s="328"/>
      <c r="AF87" s="328"/>
      <c r="AG87" s="328"/>
      <c r="AH87" s="328"/>
      <c r="AI87" s="328"/>
      <c r="AJ87" s="328"/>
      <c r="AK87" s="335"/>
      <c r="AL87" s="334"/>
      <c r="AM87" s="328"/>
      <c r="AN87" s="328"/>
      <c r="AO87" s="328"/>
      <c r="AP87" s="328"/>
      <c r="AQ87" s="271"/>
      <c r="AR87" s="271"/>
      <c r="AS87" s="271"/>
      <c r="AT87" s="271"/>
      <c r="AU87" s="271"/>
      <c r="AV87" s="271"/>
      <c r="AW87" s="272"/>
      <c r="AX87" s="245"/>
      <c r="AY87" s="273">
        <v>0</v>
      </c>
      <c r="AZ87" s="274">
        <f t="shared" si="46"/>
        <v>0</v>
      </c>
      <c r="BA87" s="275">
        <v>0</v>
      </c>
      <c r="BB87" s="276" t="e">
        <f>IF($A87="S",VTOTAL,IF($A87=0,0,ROUND(SomaAgrup,arredtot)))</f>
        <v>#REF!</v>
      </c>
      <c r="BC87" s="277" t="e">
        <f t="shared" si="47"/>
        <v>#REF!</v>
      </c>
      <c r="BD87" s="278" t="e">
        <f>IF($A87="S",VTOTAL,IF($A87=0,0,ROUND(SomaAgrup,arredtot)))</f>
        <v>#REF!</v>
      </c>
      <c r="BF87" s="770" t="e">
        <f t="shared" si="48"/>
        <v>#REF!</v>
      </c>
      <c r="BG87" s="771"/>
      <c r="BH87" s="279" t="e">
        <f t="shared" si="49"/>
        <v>#REF!</v>
      </c>
      <c r="BI87" s="772" t="e">
        <f t="shared" si="50"/>
        <v>#REF!</v>
      </c>
      <c r="BJ87" s="773"/>
      <c r="BK87" s="774" t="e">
        <f>IF(BR87&gt;0,CHOOSE(MATCH(RegimeExecucao,{"Unitário","Global"},0),IF($A87="S",BR87/BN87,""),(BR87/BN87)*100),"")</f>
        <v>#REF!</v>
      </c>
      <c r="BL87" s="775"/>
      <c r="BM87" s="776"/>
      <c r="BN87" s="777" t="e">
        <f>IF(BR87&gt;0,CHOOSE(MATCH(RegimeExecucao,{"Unitário","Global"},0),IF($A87="S",ROUND(P87,arredunit),""),ROUND(R87,arredtot)),"")</f>
        <v>#REF!</v>
      </c>
      <c r="BO87" s="778"/>
      <c r="BP87" s="778"/>
      <c r="BQ87" s="779"/>
      <c r="BR87" s="777" t="e">
        <f t="shared" si="34"/>
        <v>#REF!</v>
      </c>
      <c r="BS87" s="778"/>
      <c r="BT87" s="778"/>
      <c r="BU87" s="779"/>
      <c r="BV87" s="780"/>
      <c r="BW87" s="780"/>
      <c r="BX87" s="780"/>
      <c r="BY87" s="780"/>
      <c r="BZ87" s="780"/>
      <c r="CA87" s="781"/>
      <c r="CB87" s="245"/>
      <c r="CC87" s="245"/>
    </row>
    <row r="88" spans="1:81" s="222" customFormat="1" ht="27.6">
      <c r="A88" s="222" t="str">
        <f t="shared" si="43"/>
        <v>S</v>
      </c>
      <c r="B88" s="222">
        <f t="shared" si="44"/>
        <v>0</v>
      </c>
      <c r="C88" s="222">
        <f t="shared" ca="1" si="35"/>
        <v>11</v>
      </c>
      <c r="D88" s="222">
        <f t="shared" ca="1" si="36"/>
        <v>0</v>
      </c>
      <c r="E88" s="222">
        <f t="shared" ca="1" si="37"/>
        <v>0</v>
      </c>
      <c r="F88" s="222">
        <f t="shared" ca="1" si="38"/>
        <v>0</v>
      </c>
      <c r="G88" s="222">
        <f t="shared" ca="1" si="39"/>
        <v>8</v>
      </c>
      <c r="H88" s="222">
        <f t="shared" ca="1" si="40"/>
        <v>0</v>
      </c>
      <c r="I88" s="222">
        <f t="shared" ca="1" si="41"/>
        <v>0</v>
      </c>
      <c r="J88" s="222">
        <f t="shared" si="42"/>
        <v>1</v>
      </c>
      <c r="K88" s="269" t="s">
        <v>4</v>
      </c>
      <c r="L88" s="336" t="s">
        <v>173</v>
      </c>
      <c r="M88" s="325" t="s">
        <v>174</v>
      </c>
      <c r="N88" s="326" t="s">
        <v>93</v>
      </c>
      <c r="O88" s="327">
        <v>11.000419815281276</v>
      </c>
      <c r="P88" s="328">
        <v>23.82</v>
      </c>
      <c r="Q88" s="329">
        <f t="shared" si="45"/>
        <v>0</v>
      </c>
      <c r="R88" s="330">
        <f t="shared" si="51"/>
        <v>262.03000000000003</v>
      </c>
      <c r="S88" s="331">
        <f t="shared" si="33"/>
        <v>0</v>
      </c>
      <c r="T88" s="337">
        <f t="shared" si="31"/>
        <v>0</v>
      </c>
      <c r="U88" s="332">
        <f t="shared" si="52"/>
        <v>0</v>
      </c>
      <c r="V88" s="338">
        <f t="shared" si="32"/>
        <v>0</v>
      </c>
      <c r="W88" s="339">
        <f t="shared" si="53"/>
        <v>0</v>
      </c>
      <c r="X88" s="340">
        <f t="shared" si="54"/>
        <v>0</v>
      </c>
      <c r="Y88" s="333"/>
      <c r="Z88" s="334"/>
      <c r="AA88" s="328"/>
      <c r="AB88" s="328"/>
      <c r="AC88" s="328"/>
      <c r="AD88" s="328"/>
      <c r="AE88" s="328"/>
      <c r="AF88" s="328"/>
      <c r="AG88" s="328"/>
      <c r="AH88" s="328"/>
      <c r="AI88" s="328"/>
      <c r="AJ88" s="328"/>
      <c r="AK88" s="335"/>
      <c r="AL88" s="334"/>
      <c r="AM88" s="328"/>
      <c r="AN88" s="328"/>
      <c r="AO88" s="328"/>
      <c r="AP88" s="328"/>
      <c r="AQ88" s="271"/>
      <c r="AR88" s="271"/>
      <c r="AS88" s="271"/>
      <c r="AT88" s="271"/>
      <c r="AU88" s="271"/>
      <c r="AV88" s="271"/>
      <c r="AW88" s="272"/>
      <c r="AX88" s="245"/>
      <c r="AY88" s="273">
        <v>0</v>
      </c>
      <c r="AZ88" s="274">
        <f t="shared" si="46"/>
        <v>0</v>
      </c>
      <c r="BA88" s="275">
        <v>0</v>
      </c>
      <c r="BB88" s="276" t="e">
        <f>IF($A88="S",VTOTAL,IF($A88=0,0,ROUND(SomaAgrup,arredtot)))</f>
        <v>#REF!</v>
      </c>
      <c r="BC88" s="277" t="e">
        <f t="shared" si="47"/>
        <v>#REF!</v>
      </c>
      <c r="BD88" s="278" t="e">
        <f>IF($A88="S",VTOTAL,IF($A88=0,0,ROUND(SomaAgrup,arredtot)))</f>
        <v>#REF!</v>
      </c>
      <c r="BF88" s="770" t="e">
        <f t="shared" si="48"/>
        <v>#REF!</v>
      </c>
      <c r="BG88" s="771"/>
      <c r="BH88" s="279" t="e">
        <f t="shared" si="49"/>
        <v>#REF!</v>
      </c>
      <c r="BI88" s="772" t="e">
        <f t="shared" si="50"/>
        <v>#REF!</v>
      </c>
      <c r="BJ88" s="773"/>
      <c r="BK88" s="774" t="e">
        <f>IF(BR88&gt;0,CHOOSE(MATCH(RegimeExecucao,{"Unitário","Global"},0),IF($A88="S",BR88/BN88,""),(BR88/BN88)*100),"")</f>
        <v>#REF!</v>
      </c>
      <c r="BL88" s="775"/>
      <c r="BM88" s="776"/>
      <c r="BN88" s="777" t="e">
        <f>IF(BR88&gt;0,CHOOSE(MATCH(RegimeExecucao,{"Unitário","Global"},0),IF($A88="S",ROUND(P88,arredunit),""),ROUND(R88,arredtot)),"")</f>
        <v>#REF!</v>
      </c>
      <c r="BO88" s="778"/>
      <c r="BP88" s="778"/>
      <c r="BQ88" s="779"/>
      <c r="BR88" s="777" t="e">
        <f t="shared" si="34"/>
        <v>#REF!</v>
      </c>
      <c r="BS88" s="778"/>
      <c r="BT88" s="778"/>
      <c r="BU88" s="779"/>
      <c r="BV88" s="780"/>
      <c r="BW88" s="780"/>
      <c r="BX88" s="780"/>
      <c r="BY88" s="780"/>
      <c r="BZ88" s="780"/>
      <c r="CA88" s="781"/>
      <c r="CB88" s="245"/>
      <c r="CC88" s="245"/>
    </row>
    <row r="89" spans="1:81" s="222" customFormat="1" ht="41.4">
      <c r="A89" s="222" t="str">
        <f t="shared" si="43"/>
        <v>S</v>
      </c>
      <c r="B89" s="222">
        <f t="shared" si="44"/>
        <v>0</v>
      </c>
      <c r="C89" s="222">
        <f t="shared" ca="1" si="35"/>
        <v>11</v>
      </c>
      <c r="D89" s="222">
        <f t="shared" ca="1" si="36"/>
        <v>0</v>
      </c>
      <c r="E89" s="222">
        <f t="shared" ca="1" si="37"/>
        <v>0</v>
      </c>
      <c r="F89" s="222">
        <f t="shared" ca="1" si="38"/>
        <v>0</v>
      </c>
      <c r="G89" s="222">
        <f t="shared" ca="1" si="39"/>
        <v>9</v>
      </c>
      <c r="H89" s="222">
        <f t="shared" ca="1" si="40"/>
        <v>0</v>
      </c>
      <c r="I89" s="222">
        <f t="shared" ca="1" si="41"/>
        <v>0</v>
      </c>
      <c r="J89" s="222">
        <f t="shared" si="42"/>
        <v>1</v>
      </c>
      <c r="K89" s="269" t="s">
        <v>4</v>
      </c>
      <c r="L89" s="336" t="s">
        <v>175</v>
      </c>
      <c r="M89" s="325" t="s">
        <v>176</v>
      </c>
      <c r="N89" s="326" t="s">
        <v>93</v>
      </c>
      <c r="O89" s="327">
        <v>3</v>
      </c>
      <c r="P89" s="328">
        <v>159.63999999999999</v>
      </c>
      <c r="Q89" s="329">
        <f t="shared" si="45"/>
        <v>0</v>
      </c>
      <c r="R89" s="330">
        <f t="shared" si="51"/>
        <v>478.91999999999996</v>
      </c>
      <c r="S89" s="331">
        <f t="shared" si="33"/>
        <v>0</v>
      </c>
      <c r="T89" s="337">
        <f t="shared" si="31"/>
        <v>0</v>
      </c>
      <c r="U89" s="332">
        <f t="shared" si="52"/>
        <v>0</v>
      </c>
      <c r="V89" s="338">
        <f t="shared" si="32"/>
        <v>0</v>
      </c>
      <c r="W89" s="339">
        <f t="shared" si="53"/>
        <v>0</v>
      </c>
      <c r="X89" s="340">
        <f t="shared" si="54"/>
        <v>0</v>
      </c>
      <c r="Y89" s="333"/>
      <c r="Z89" s="334"/>
      <c r="AA89" s="328"/>
      <c r="AB89" s="328"/>
      <c r="AC89" s="328"/>
      <c r="AD89" s="328"/>
      <c r="AE89" s="328"/>
      <c r="AF89" s="328"/>
      <c r="AG89" s="328"/>
      <c r="AH89" s="328"/>
      <c r="AI89" s="328"/>
      <c r="AJ89" s="328"/>
      <c r="AK89" s="335"/>
      <c r="AL89" s="334"/>
      <c r="AM89" s="328"/>
      <c r="AN89" s="328"/>
      <c r="AO89" s="328"/>
      <c r="AP89" s="328"/>
      <c r="AQ89" s="271"/>
      <c r="AR89" s="271"/>
      <c r="AS89" s="271"/>
      <c r="AT89" s="271"/>
      <c r="AU89" s="271"/>
      <c r="AV89" s="271"/>
      <c r="AW89" s="272"/>
      <c r="AX89" s="245"/>
      <c r="AY89" s="273">
        <v>0</v>
      </c>
      <c r="AZ89" s="274">
        <f t="shared" si="46"/>
        <v>0</v>
      </c>
      <c r="BA89" s="275">
        <v>0</v>
      </c>
      <c r="BB89" s="276" t="e">
        <f>IF($A89="S",VTOTAL,IF($A89=0,0,ROUND(SomaAgrup,arredtot)))</f>
        <v>#REF!</v>
      </c>
      <c r="BC89" s="277" t="e">
        <f t="shared" si="47"/>
        <v>#REF!</v>
      </c>
      <c r="BD89" s="278" t="e">
        <f>IF($A89="S",VTOTAL,IF($A89=0,0,ROUND(SomaAgrup,arredtot)))</f>
        <v>#REF!</v>
      </c>
      <c r="BF89" s="770" t="e">
        <f t="shared" si="48"/>
        <v>#REF!</v>
      </c>
      <c r="BG89" s="771"/>
      <c r="BH89" s="279" t="e">
        <f t="shared" si="49"/>
        <v>#REF!</v>
      </c>
      <c r="BI89" s="772" t="e">
        <f t="shared" si="50"/>
        <v>#REF!</v>
      </c>
      <c r="BJ89" s="773"/>
      <c r="BK89" s="774" t="e">
        <f>IF(BR89&gt;0,CHOOSE(MATCH(RegimeExecucao,{"Unitário","Global"},0),IF($A89="S",BR89/BN89,""),(BR89/BN89)*100),"")</f>
        <v>#REF!</v>
      </c>
      <c r="BL89" s="775"/>
      <c r="BM89" s="776"/>
      <c r="BN89" s="777" t="e">
        <f>IF(BR89&gt;0,CHOOSE(MATCH(RegimeExecucao,{"Unitário","Global"},0),IF($A89="S",ROUND(P89,arredunit),""),ROUND(R89,arredtot)),"")</f>
        <v>#REF!</v>
      </c>
      <c r="BO89" s="778"/>
      <c r="BP89" s="778"/>
      <c r="BQ89" s="779"/>
      <c r="BR89" s="777" t="e">
        <f t="shared" si="34"/>
        <v>#REF!</v>
      </c>
      <c r="BS89" s="778"/>
      <c r="BT89" s="778"/>
      <c r="BU89" s="779"/>
      <c r="BV89" s="780"/>
      <c r="BW89" s="780"/>
      <c r="BX89" s="780"/>
      <c r="BY89" s="780"/>
      <c r="BZ89" s="780"/>
      <c r="CA89" s="781"/>
      <c r="CB89" s="245"/>
      <c r="CC89" s="245"/>
    </row>
    <row r="90" spans="1:81" s="222" customFormat="1" ht="13.8">
      <c r="A90" s="222">
        <f t="shared" si="43"/>
        <v>1</v>
      </c>
      <c r="B90" s="222">
        <f t="shared" ca="1" si="44"/>
        <v>2</v>
      </c>
      <c r="C90" s="222">
        <f t="shared" ca="1" si="35"/>
        <v>12</v>
      </c>
      <c r="D90" s="222">
        <f t="shared" ca="1" si="36"/>
        <v>0</v>
      </c>
      <c r="E90" s="222">
        <f t="shared" ca="1" si="37"/>
        <v>0</v>
      </c>
      <c r="F90" s="222">
        <f t="shared" ca="1" si="38"/>
        <v>0</v>
      </c>
      <c r="G90" s="222">
        <f t="shared" ca="1" si="39"/>
        <v>0</v>
      </c>
      <c r="H90" s="222">
        <f t="shared" ca="1" si="40"/>
        <v>6</v>
      </c>
      <c r="I90" s="222">
        <f t="shared" ca="1" si="41"/>
        <v>2</v>
      </c>
      <c r="J90" s="222">
        <f t="shared" si="42"/>
        <v>0</v>
      </c>
      <c r="K90" s="269" t="str">
        <f>CHOOSE(1+LOG(1+2*($J90=3)+4*($J90=2)+8*($J90=1)+16*(AND($L90&lt;&gt;"",$L90&lt;&gt;0,$J90=0))+32*OR($N90&lt;&gt;"",RegimeExecucao="Global",AND($L90="",$M90="",$N90="")),2),"","Nível 4","Nível 3","Nível 2","Meta","Serviço")</f>
        <v>Meta</v>
      </c>
      <c r="L90" s="324">
        <v>12</v>
      </c>
      <c r="M90" s="325" t="s">
        <v>177</v>
      </c>
      <c r="N90" s="326"/>
      <c r="O90" s="327"/>
      <c r="P90" s="328"/>
      <c r="Q90" s="329">
        <f t="shared" si="45"/>
        <v>14838.84</v>
      </c>
      <c r="R90" s="330">
        <f>R91</f>
        <v>14838.84</v>
      </c>
      <c r="S90" s="331">
        <f>Z90+AA90</f>
        <v>0</v>
      </c>
      <c r="T90" s="337">
        <f>AB90</f>
        <v>0</v>
      </c>
      <c r="U90" s="332">
        <f t="shared" si="52"/>
        <v>0</v>
      </c>
      <c r="V90" s="338">
        <f>V91</f>
        <v>0</v>
      </c>
      <c r="W90" s="339">
        <f>W91</f>
        <v>0</v>
      </c>
      <c r="X90" s="340">
        <f t="shared" si="54"/>
        <v>0</v>
      </c>
      <c r="Y90" s="333"/>
      <c r="Z90" s="334"/>
      <c r="AA90" s="328"/>
      <c r="AB90" s="328"/>
      <c r="AC90" s="328"/>
      <c r="AD90" s="328"/>
      <c r="AE90" s="328"/>
      <c r="AF90" s="328"/>
      <c r="AG90" s="328"/>
      <c r="AH90" s="328"/>
      <c r="AI90" s="328"/>
      <c r="AJ90" s="328"/>
      <c r="AK90" s="335"/>
      <c r="AL90" s="334"/>
      <c r="AM90" s="328"/>
      <c r="AN90" s="328"/>
      <c r="AO90" s="328"/>
      <c r="AP90" s="328"/>
      <c r="AQ90" s="271"/>
      <c r="AR90" s="271"/>
      <c r="AS90" s="271"/>
      <c r="AT90" s="271"/>
      <c r="AU90" s="271"/>
      <c r="AV90" s="271"/>
      <c r="AW90" s="272"/>
      <c r="AX90" s="245"/>
      <c r="AY90" s="273">
        <v>0</v>
      </c>
      <c r="AZ90" s="274">
        <f t="shared" si="46"/>
        <v>0</v>
      </c>
      <c r="BA90" s="275">
        <v>0</v>
      </c>
      <c r="BB90" s="276" t="e">
        <f ca="1">IF($A90="S",VTOTAL,IF($A90=0,0,ROUND(SomaAgrup,arredtot)))</f>
        <v>#REF!</v>
      </c>
      <c r="BC90" s="277" t="e">
        <f t="shared" ca="1" si="47"/>
        <v>#REF!</v>
      </c>
      <c r="BD90" s="278" t="e">
        <f ca="1">IF($A90="S",VTOTAL,IF($A90=0,0,ROUND(SomaAgrup,arredtot)))</f>
        <v>#REF!</v>
      </c>
      <c r="BF90" s="770" t="e">
        <f t="shared" ca="1" si="48"/>
        <v>#REF!</v>
      </c>
      <c r="BG90" s="771"/>
      <c r="BH90" s="279" t="e">
        <f t="shared" ca="1" si="49"/>
        <v>#REF!</v>
      </c>
      <c r="BI90" s="772" t="e">
        <f t="shared" ca="1" si="50"/>
        <v>#REF!</v>
      </c>
      <c r="BJ90" s="773"/>
      <c r="BK90" s="774" t="e">
        <f ca="1">IF(BR90&gt;0,CHOOSE(MATCH(RegimeExecucao,{"Unitário","Global"},0),IF($A90="S",BR90/BN90,""),(BR90/BN90)*100),"")</f>
        <v>#REF!</v>
      </c>
      <c r="BL90" s="775"/>
      <c r="BM90" s="776"/>
      <c r="BN90" s="777" t="e">
        <f ca="1">IF(BR90&gt;0,CHOOSE(MATCH(RegimeExecucao,{"Unitário","Global"},0),IF($A90="S",ROUND(P90,arredunit),""),ROUND(R90,arredtot)),"")</f>
        <v>#REF!</v>
      </c>
      <c r="BO90" s="778"/>
      <c r="BP90" s="778"/>
      <c r="BQ90" s="779"/>
      <c r="BR90" s="777" t="e">
        <f t="shared" ca="1" si="34"/>
        <v>#REF!</v>
      </c>
      <c r="BS90" s="778"/>
      <c r="BT90" s="778"/>
      <c r="BU90" s="779"/>
      <c r="BV90" s="780"/>
      <c r="BW90" s="780"/>
      <c r="BX90" s="780"/>
      <c r="BY90" s="780"/>
      <c r="BZ90" s="780"/>
      <c r="CA90" s="781"/>
      <c r="CB90" s="245"/>
      <c r="CC90" s="245"/>
    </row>
    <row r="91" spans="1:81" s="222" customFormat="1" ht="76.2" customHeight="1">
      <c r="A91" s="222" t="str">
        <f t="shared" si="43"/>
        <v>S</v>
      </c>
      <c r="B91" s="222">
        <f t="shared" si="44"/>
        <v>0</v>
      </c>
      <c r="C91" s="222">
        <f t="shared" ca="1" si="35"/>
        <v>12</v>
      </c>
      <c r="D91" s="222">
        <f t="shared" ca="1" si="36"/>
        <v>0</v>
      </c>
      <c r="E91" s="222">
        <f t="shared" ca="1" si="37"/>
        <v>0</v>
      </c>
      <c r="F91" s="222">
        <f t="shared" ca="1" si="38"/>
        <v>0</v>
      </c>
      <c r="G91" s="222">
        <f t="shared" ca="1" si="39"/>
        <v>1</v>
      </c>
      <c r="H91" s="222">
        <f t="shared" ca="1" si="40"/>
        <v>0</v>
      </c>
      <c r="I91" s="222">
        <f t="shared" ca="1" si="41"/>
        <v>0</v>
      </c>
      <c r="J91" s="222">
        <f t="shared" si="42"/>
        <v>1</v>
      </c>
      <c r="K91" s="269" t="s">
        <v>4</v>
      </c>
      <c r="L91" s="336" t="s">
        <v>178</v>
      </c>
      <c r="M91" s="325" t="s">
        <v>179</v>
      </c>
      <c r="N91" s="326" t="s">
        <v>59</v>
      </c>
      <c r="O91" s="327">
        <v>35.300314016557238</v>
      </c>
      <c r="P91" s="328">
        <v>420.36</v>
      </c>
      <c r="Q91" s="329">
        <f t="shared" si="45"/>
        <v>0</v>
      </c>
      <c r="R91" s="330">
        <f t="shared" si="51"/>
        <v>14838.84</v>
      </c>
      <c r="S91" s="331">
        <f t="shared" si="33"/>
        <v>0</v>
      </c>
      <c r="T91" s="337">
        <f t="shared" si="31"/>
        <v>0</v>
      </c>
      <c r="U91" s="332">
        <f t="shared" si="52"/>
        <v>0</v>
      </c>
      <c r="V91" s="338">
        <f t="shared" si="32"/>
        <v>0</v>
      </c>
      <c r="W91" s="339">
        <f t="shared" si="53"/>
        <v>0</v>
      </c>
      <c r="X91" s="340">
        <f t="shared" si="54"/>
        <v>0</v>
      </c>
      <c r="Y91" s="333"/>
      <c r="Z91" s="334"/>
      <c r="AA91" s="328"/>
      <c r="AB91" s="328"/>
      <c r="AC91" s="328"/>
      <c r="AD91" s="328"/>
      <c r="AE91" s="328"/>
      <c r="AF91" s="328"/>
      <c r="AG91" s="328"/>
      <c r="AH91" s="328"/>
      <c r="AI91" s="328"/>
      <c r="AJ91" s="328"/>
      <c r="AK91" s="335"/>
      <c r="AL91" s="334"/>
      <c r="AM91" s="328"/>
      <c r="AN91" s="328"/>
      <c r="AO91" s="328"/>
      <c r="AP91" s="328"/>
      <c r="AQ91" s="271"/>
      <c r="AR91" s="271"/>
      <c r="AS91" s="271"/>
      <c r="AT91" s="271"/>
      <c r="AU91" s="271"/>
      <c r="AV91" s="271"/>
      <c r="AW91" s="272"/>
      <c r="AX91" s="245"/>
      <c r="AY91" s="273">
        <v>0</v>
      </c>
      <c r="AZ91" s="274">
        <f t="shared" si="46"/>
        <v>0</v>
      </c>
      <c r="BA91" s="275">
        <v>0</v>
      </c>
      <c r="BB91" s="276" t="e">
        <f>IF($A91="S",VTOTAL,IF($A91=0,0,ROUND(SomaAgrup,arredtot)))</f>
        <v>#REF!</v>
      </c>
      <c r="BC91" s="277" t="e">
        <f t="shared" si="47"/>
        <v>#REF!</v>
      </c>
      <c r="BD91" s="278" t="e">
        <f>IF($A91="S",VTOTAL,IF($A91=0,0,ROUND(SomaAgrup,arredtot)))</f>
        <v>#REF!</v>
      </c>
      <c r="BF91" s="770" t="e">
        <f t="shared" si="48"/>
        <v>#REF!</v>
      </c>
      <c r="BG91" s="771"/>
      <c r="BH91" s="279" t="e">
        <f t="shared" si="49"/>
        <v>#REF!</v>
      </c>
      <c r="BI91" s="772" t="e">
        <f t="shared" si="50"/>
        <v>#REF!</v>
      </c>
      <c r="BJ91" s="773"/>
      <c r="BK91" s="774" t="e">
        <f>IF(BR91&gt;0,CHOOSE(MATCH(RegimeExecucao,{"Unitário","Global"},0),IF($A91="S",BR91/BN91,""),(BR91/BN91)*100),"")</f>
        <v>#REF!</v>
      </c>
      <c r="BL91" s="775"/>
      <c r="BM91" s="776"/>
      <c r="BN91" s="777" t="e">
        <f>IF(BR91&gt;0,CHOOSE(MATCH(RegimeExecucao,{"Unitário","Global"},0),IF($A91="S",ROUND(P91,arredunit),""),ROUND(R91,arredtot)),"")</f>
        <v>#REF!</v>
      </c>
      <c r="BO91" s="778"/>
      <c r="BP91" s="778"/>
      <c r="BQ91" s="779"/>
      <c r="BR91" s="777" t="e">
        <f t="shared" si="34"/>
        <v>#REF!</v>
      </c>
      <c r="BS91" s="778"/>
      <c r="BT91" s="778"/>
      <c r="BU91" s="779"/>
      <c r="BV91" s="780"/>
      <c r="BW91" s="780"/>
      <c r="BX91" s="780"/>
      <c r="BY91" s="780"/>
      <c r="BZ91" s="780"/>
      <c r="CA91" s="781"/>
      <c r="CB91" s="245"/>
      <c r="CC91" s="245"/>
    </row>
    <row r="92" spans="1:81" s="222" customFormat="1" ht="13.8">
      <c r="A92" s="222">
        <f t="shared" si="43"/>
        <v>1</v>
      </c>
      <c r="B92" s="222">
        <f t="shared" ca="1" si="44"/>
        <v>4</v>
      </c>
      <c r="C92" s="222">
        <f t="shared" ca="1" si="35"/>
        <v>13</v>
      </c>
      <c r="D92" s="222">
        <f t="shared" ca="1" si="36"/>
        <v>0</v>
      </c>
      <c r="E92" s="222">
        <f t="shared" ca="1" si="37"/>
        <v>0</v>
      </c>
      <c r="F92" s="222">
        <f t="shared" ca="1" si="38"/>
        <v>0</v>
      </c>
      <c r="G92" s="222">
        <f t="shared" ca="1" si="39"/>
        <v>0</v>
      </c>
      <c r="H92" s="222">
        <f t="shared" ca="1" si="40"/>
        <v>4</v>
      </c>
      <c r="I92" s="222" t="e">
        <f t="shared" ca="1" si="41"/>
        <v>#N/A</v>
      </c>
      <c r="J92" s="222">
        <f t="shared" si="42"/>
        <v>0</v>
      </c>
      <c r="K92" s="269" t="str">
        <f>CHOOSE(1+LOG(1+2*($J92=3)+4*($J92=2)+8*($J92=1)+16*(AND($L92&lt;&gt;"",$L92&lt;&gt;0,$J92=0))+32*OR($N92&lt;&gt;"",RegimeExecucao="Global",AND($L92="",$M92="",$N92="")),2),"","Nível 4","Nível 3","Nível 2","Meta","Serviço")</f>
        <v>Meta</v>
      </c>
      <c r="L92" s="324">
        <v>13</v>
      </c>
      <c r="M92" s="325" t="s">
        <v>180</v>
      </c>
      <c r="N92" s="326"/>
      <c r="O92" s="327"/>
      <c r="P92" s="328"/>
      <c r="Q92" s="329">
        <f t="shared" si="45"/>
        <v>1011.7300000000002</v>
      </c>
      <c r="R92" s="330">
        <f>SUM(R93:R95)</f>
        <v>1011.7300000000002</v>
      </c>
      <c r="S92" s="331">
        <f>Z92+AA92</f>
        <v>0</v>
      </c>
      <c r="T92" s="337">
        <f>AB92</f>
        <v>0</v>
      </c>
      <c r="U92" s="332">
        <f t="shared" si="52"/>
        <v>0</v>
      </c>
      <c r="V92" s="338">
        <f>SUM(V93:V95)</f>
        <v>717.1600000000002</v>
      </c>
      <c r="W92" s="339">
        <f>SUM(W93:W95)</f>
        <v>0</v>
      </c>
      <c r="X92" s="340">
        <f t="shared" si="54"/>
        <v>717.1600000000002</v>
      </c>
      <c r="Y92" s="333"/>
      <c r="Z92" s="334"/>
      <c r="AA92" s="328"/>
      <c r="AB92" s="328"/>
      <c r="AC92" s="328"/>
      <c r="AD92" s="328"/>
      <c r="AE92" s="328"/>
      <c r="AF92" s="328"/>
      <c r="AG92" s="328"/>
      <c r="AH92" s="328"/>
      <c r="AI92" s="328"/>
      <c r="AJ92" s="328"/>
      <c r="AK92" s="335"/>
      <c r="AL92" s="334"/>
      <c r="AM92" s="328"/>
      <c r="AN92" s="328"/>
      <c r="AO92" s="328"/>
      <c r="AP92" s="328"/>
      <c r="AQ92" s="271"/>
      <c r="AR92" s="271"/>
      <c r="AS92" s="271"/>
      <c r="AT92" s="271"/>
      <c r="AU92" s="271"/>
      <c r="AV92" s="271"/>
      <c r="AW92" s="272"/>
      <c r="AX92" s="245"/>
      <c r="AY92" s="273">
        <v>0</v>
      </c>
      <c r="AZ92" s="274">
        <f t="shared" si="46"/>
        <v>0</v>
      </c>
      <c r="BA92" s="275">
        <v>0</v>
      </c>
      <c r="BB92" s="276" t="e">
        <f ca="1">IF($A92="S",VTOTAL,IF($A92=0,0,ROUND(SomaAgrup,arredtot)))</f>
        <v>#REF!</v>
      </c>
      <c r="BC92" s="277" t="e">
        <f t="shared" ca="1" si="47"/>
        <v>#REF!</v>
      </c>
      <c r="BD92" s="278" t="e">
        <f ca="1">IF($A92="S",VTOTAL,IF($A92=0,0,ROUND(SomaAgrup,arredtot)))</f>
        <v>#REF!</v>
      </c>
      <c r="BF92" s="770" t="e">
        <f t="shared" ca="1" si="48"/>
        <v>#REF!</v>
      </c>
      <c r="BG92" s="771"/>
      <c r="BH92" s="279" t="e">
        <f t="shared" ca="1" si="49"/>
        <v>#REF!</v>
      </c>
      <c r="BI92" s="772" t="e">
        <f t="shared" ca="1" si="50"/>
        <v>#REF!</v>
      </c>
      <c r="BJ92" s="773"/>
      <c r="BK92" s="774" t="e">
        <f ca="1">IF(BR92&gt;0,CHOOSE(MATCH(RegimeExecucao,{"Unitário","Global"},0),IF($A92="S",BR92/BN92,""),(BR92/BN92)*100),"")</f>
        <v>#REF!</v>
      </c>
      <c r="BL92" s="775"/>
      <c r="BM92" s="776"/>
      <c r="BN92" s="777" t="e">
        <f ca="1">IF(BR92&gt;0,CHOOSE(MATCH(RegimeExecucao,{"Unitário","Global"},0),IF($A92="S",ROUND(P92,arredunit),""),ROUND(R92,arredtot)),"")</f>
        <v>#REF!</v>
      </c>
      <c r="BO92" s="778"/>
      <c r="BP92" s="778"/>
      <c r="BQ92" s="779"/>
      <c r="BR92" s="777" t="e">
        <f t="shared" ca="1" si="34"/>
        <v>#REF!</v>
      </c>
      <c r="BS92" s="778"/>
      <c r="BT92" s="778"/>
      <c r="BU92" s="779"/>
      <c r="BV92" s="780"/>
      <c r="BW92" s="780"/>
      <c r="BX92" s="780"/>
      <c r="BY92" s="780"/>
      <c r="BZ92" s="780"/>
      <c r="CA92" s="781"/>
      <c r="CB92" s="245"/>
      <c r="CC92" s="245"/>
    </row>
    <row r="93" spans="1:81" s="222" customFormat="1" ht="27.6">
      <c r="A93" s="222" t="str">
        <f t="shared" si="43"/>
        <v>S</v>
      </c>
      <c r="B93" s="222">
        <f t="shared" si="44"/>
        <v>0</v>
      </c>
      <c r="C93" s="222">
        <f t="shared" ca="1" si="35"/>
        <v>13</v>
      </c>
      <c r="D93" s="222">
        <f t="shared" ca="1" si="36"/>
        <v>0</v>
      </c>
      <c r="E93" s="222">
        <f t="shared" ca="1" si="37"/>
        <v>0</v>
      </c>
      <c r="F93" s="222">
        <f t="shared" ca="1" si="38"/>
        <v>0</v>
      </c>
      <c r="G93" s="222">
        <f t="shared" ca="1" si="39"/>
        <v>1</v>
      </c>
      <c r="H93" s="222">
        <f t="shared" ca="1" si="40"/>
        <v>0</v>
      </c>
      <c r="I93" s="222">
        <f t="shared" ca="1" si="41"/>
        <v>0</v>
      </c>
      <c r="J93" s="222">
        <f t="shared" si="42"/>
        <v>1</v>
      </c>
      <c r="K93" s="269" t="s">
        <v>4</v>
      </c>
      <c r="L93" s="336" t="s">
        <v>181</v>
      </c>
      <c r="M93" s="325" t="s">
        <v>182</v>
      </c>
      <c r="N93" s="326" t="s">
        <v>49</v>
      </c>
      <c r="O93" s="327">
        <v>22.001917913310322</v>
      </c>
      <c r="P93" s="328">
        <v>26.07</v>
      </c>
      <c r="Q93" s="329">
        <f t="shared" si="45"/>
        <v>0</v>
      </c>
      <c r="R93" s="330">
        <f t="shared" si="51"/>
        <v>573.59000000000015</v>
      </c>
      <c r="S93" s="331">
        <f t="shared" si="33"/>
        <v>22.001917913310322</v>
      </c>
      <c r="T93" s="337">
        <f t="shared" si="31"/>
        <v>0</v>
      </c>
      <c r="U93" s="332">
        <f t="shared" si="52"/>
        <v>22.001917913310322</v>
      </c>
      <c r="V93" s="338">
        <f t="shared" si="32"/>
        <v>573.59000000000015</v>
      </c>
      <c r="W93" s="339">
        <f t="shared" si="53"/>
        <v>0</v>
      </c>
      <c r="X93" s="340">
        <f t="shared" si="54"/>
        <v>573.59000000000015</v>
      </c>
      <c r="Y93" s="333"/>
      <c r="Z93" s="334">
        <v>1</v>
      </c>
      <c r="AA93" s="328">
        <f>O93-Z93</f>
        <v>21.001917913310322</v>
      </c>
      <c r="AB93" s="328"/>
      <c r="AC93" s="328"/>
      <c r="AD93" s="328"/>
      <c r="AE93" s="328"/>
      <c r="AF93" s="328"/>
      <c r="AG93" s="328"/>
      <c r="AH93" s="328"/>
      <c r="AI93" s="328"/>
      <c r="AJ93" s="328"/>
      <c r="AK93" s="335"/>
      <c r="AL93" s="334"/>
      <c r="AM93" s="328"/>
      <c r="AN93" s="328"/>
      <c r="AO93" s="328"/>
      <c r="AP93" s="328"/>
      <c r="AQ93" s="271"/>
      <c r="AR93" s="271"/>
      <c r="AS93" s="271"/>
      <c r="AT93" s="271"/>
      <c r="AU93" s="271"/>
      <c r="AV93" s="271"/>
      <c r="AW93" s="272"/>
      <c r="AX93" s="245"/>
      <c r="AY93" s="273">
        <v>0</v>
      </c>
      <c r="AZ93" s="274">
        <f t="shared" si="46"/>
        <v>0</v>
      </c>
      <c r="BA93" s="275">
        <v>0</v>
      </c>
      <c r="BB93" s="276" t="e">
        <f>IF($A93="S",VTOTAL,IF($A93=0,0,ROUND(SomaAgrup,arredtot)))</f>
        <v>#REF!</v>
      </c>
      <c r="BC93" s="277" t="e">
        <f t="shared" si="47"/>
        <v>#REF!</v>
      </c>
      <c r="BD93" s="278" t="e">
        <f>IF($A93="S",VTOTAL,IF($A93=0,0,ROUND(SomaAgrup,arredtot)))</f>
        <v>#REF!</v>
      </c>
      <c r="BF93" s="770" t="e">
        <f t="shared" si="48"/>
        <v>#REF!</v>
      </c>
      <c r="BG93" s="771"/>
      <c r="BH93" s="279" t="e">
        <f t="shared" si="49"/>
        <v>#REF!</v>
      </c>
      <c r="BI93" s="772" t="e">
        <f t="shared" si="50"/>
        <v>#REF!</v>
      </c>
      <c r="BJ93" s="773"/>
      <c r="BK93" s="774" t="e">
        <f>IF(BR93&gt;0,CHOOSE(MATCH(RegimeExecucao,{"Unitário","Global"},0),IF($A93="S",BR93/BN93,""),(BR93/BN93)*100),"")</f>
        <v>#REF!</v>
      </c>
      <c r="BL93" s="775"/>
      <c r="BM93" s="776"/>
      <c r="BN93" s="777" t="e">
        <f>IF(BR93&gt;0,CHOOSE(MATCH(RegimeExecucao,{"Unitário","Global"},0),IF($A93="S",ROUND(P93,arredunit),""),ROUND(R93,arredtot)),"")</f>
        <v>#REF!</v>
      </c>
      <c r="BO93" s="778"/>
      <c r="BP93" s="778"/>
      <c r="BQ93" s="779"/>
      <c r="BR93" s="777" t="e">
        <f t="shared" si="34"/>
        <v>#REF!</v>
      </c>
      <c r="BS93" s="778"/>
      <c r="BT93" s="778"/>
      <c r="BU93" s="779"/>
      <c r="BV93" s="780"/>
      <c r="BW93" s="780"/>
      <c r="BX93" s="780"/>
      <c r="BY93" s="780"/>
      <c r="BZ93" s="780"/>
      <c r="CA93" s="781"/>
      <c r="CB93" s="245"/>
      <c r="CC93" s="245"/>
    </row>
    <row r="94" spans="1:81" s="222" customFormat="1" ht="41.4">
      <c r="A94" s="222" t="str">
        <f t="shared" si="43"/>
        <v>S</v>
      </c>
      <c r="B94" s="222">
        <f t="shared" si="44"/>
        <v>0</v>
      </c>
      <c r="C94" s="222">
        <f t="shared" ca="1" si="35"/>
        <v>13</v>
      </c>
      <c r="D94" s="222">
        <f t="shared" ca="1" si="36"/>
        <v>0</v>
      </c>
      <c r="E94" s="222">
        <f t="shared" ca="1" si="37"/>
        <v>0</v>
      </c>
      <c r="F94" s="222">
        <f t="shared" ca="1" si="38"/>
        <v>0</v>
      </c>
      <c r="G94" s="222">
        <f t="shared" ca="1" si="39"/>
        <v>2</v>
      </c>
      <c r="H94" s="222">
        <f t="shared" ca="1" si="40"/>
        <v>0</v>
      </c>
      <c r="I94" s="222">
        <f t="shared" ca="1" si="41"/>
        <v>0</v>
      </c>
      <c r="J94" s="222">
        <f t="shared" si="42"/>
        <v>1</v>
      </c>
      <c r="K94" s="269" t="s">
        <v>4</v>
      </c>
      <c r="L94" s="336" t="s">
        <v>183</v>
      </c>
      <c r="M94" s="325" t="s">
        <v>184</v>
      </c>
      <c r="N94" s="326" t="s">
        <v>49</v>
      </c>
      <c r="O94" s="327">
        <v>22</v>
      </c>
      <c r="P94" s="328">
        <v>6.5259090909090913</v>
      </c>
      <c r="Q94" s="329">
        <f t="shared" si="45"/>
        <v>0</v>
      </c>
      <c r="R94" s="330">
        <f t="shared" si="51"/>
        <v>143.57000000000002</v>
      </c>
      <c r="S94" s="331">
        <f t="shared" si="33"/>
        <v>22</v>
      </c>
      <c r="T94" s="337">
        <f t="shared" si="31"/>
        <v>0</v>
      </c>
      <c r="U94" s="332">
        <f t="shared" si="52"/>
        <v>22</v>
      </c>
      <c r="V94" s="338">
        <f t="shared" si="32"/>
        <v>143.57000000000002</v>
      </c>
      <c r="W94" s="339">
        <f t="shared" si="53"/>
        <v>0</v>
      </c>
      <c r="X94" s="340">
        <f t="shared" si="54"/>
        <v>143.57000000000002</v>
      </c>
      <c r="Y94" s="333"/>
      <c r="Z94" s="334">
        <v>1</v>
      </c>
      <c r="AA94" s="328">
        <v>21</v>
      </c>
      <c r="AB94" s="328"/>
      <c r="AC94" s="328"/>
      <c r="AD94" s="328"/>
      <c r="AE94" s="328"/>
      <c r="AF94" s="328"/>
      <c r="AG94" s="328"/>
      <c r="AH94" s="328"/>
      <c r="AI94" s="328"/>
      <c r="AJ94" s="328"/>
      <c r="AK94" s="335"/>
      <c r="AL94" s="334"/>
      <c r="AM94" s="328"/>
      <c r="AN94" s="328"/>
      <c r="AO94" s="328"/>
      <c r="AP94" s="328"/>
      <c r="AQ94" s="271"/>
      <c r="AR94" s="271"/>
      <c r="AS94" s="271"/>
      <c r="AT94" s="271"/>
      <c r="AU94" s="271"/>
      <c r="AV94" s="271"/>
      <c r="AW94" s="272"/>
      <c r="AX94" s="245"/>
      <c r="AY94" s="273">
        <v>0</v>
      </c>
      <c r="AZ94" s="274">
        <f t="shared" si="46"/>
        <v>0</v>
      </c>
      <c r="BA94" s="275">
        <v>0</v>
      </c>
      <c r="BB94" s="276" t="e">
        <f>IF($A94="S",VTOTAL,IF($A94=0,0,ROUND(SomaAgrup,arredtot)))</f>
        <v>#REF!</v>
      </c>
      <c r="BC94" s="277" t="e">
        <f t="shared" si="47"/>
        <v>#REF!</v>
      </c>
      <c r="BD94" s="278" t="e">
        <f>IF($A94="S",VTOTAL,IF($A94=0,0,ROUND(SomaAgrup,arredtot)))</f>
        <v>#REF!</v>
      </c>
      <c r="BF94" s="770" t="e">
        <f t="shared" si="48"/>
        <v>#REF!</v>
      </c>
      <c r="BG94" s="771"/>
      <c r="BH94" s="279" t="e">
        <f t="shared" si="49"/>
        <v>#REF!</v>
      </c>
      <c r="BI94" s="772" t="e">
        <f t="shared" si="50"/>
        <v>#REF!</v>
      </c>
      <c r="BJ94" s="773"/>
      <c r="BK94" s="774" t="e">
        <f>IF(BR94&gt;0,CHOOSE(MATCH(RegimeExecucao,{"Unitário","Global"},0),IF($A94="S",BR94/BN94,""),(BR94/BN94)*100),"")</f>
        <v>#REF!</v>
      </c>
      <c r="BL94" s="775"/>
      <c r="BM94" s="776"/>
      <c r="BN94" s="777" t="e">
        <f>IF(BR94&gt;0,CHOOSE(MATCH(RegimeExecucao,{"Unitário","Global"},0),IF($A94="S",ROUND(P94,arredunit),""),ROUND(R94,arredtot)),"")</f>
        <v>#REF!</v>
      </c>
      <c r="BO94" s="778"/>
      <c r="BP94" s="778"/>
      <c r="BQ94" s="779"/>
      <c r="BR94" s="777" t="e">
        <f t="shared" si="34"/>
        <v>#REF!</v>
      </c>
      <c r="BS94" s="778"/>
      <c r="BT94" s="778"/>
      <c r="BU94" s="779"/>
      <c r="BV94" s="780"/>
      <c r="BW94" s="780"/>
      <c r="BX94" s="780"/>
      <c r="BY94" s="780"/>
      <c r="BZ94" s="780"/>
      <c r="CA94" s="781"/>
      <c r="CB94" s="245"/>
      <c r="CC94" s="245"/>
    </row>
    <row r="95" spans="1:81" s="222" customFormat="1" ht="13.8">
      <c r="A95" s="222" t="str">
        <f>CHOOSE(1+LOG(1+2*(K95="Meta")+4*(K95="Nível 2")+8*(K95="Nível 3")+16*(K95="Nível 4")+32*(K95="Serviço"),2),0,1,2,3,4,"S")</f>
        <v>S</v>
      </c>
      <c r="B95" s="222">
        <f>IF(OR(A95="S",A95=0),0,IF(ISERROR(I95),H95,SMALL(H95:I95,1)))</f>
        <v>0</v>
      </c>
      <c r="C95" s="222">
        <f ca="1">IF($A95=1,OFFSET(C95,-1,0)+1,OFFSET(C95,-1,0))</f>
        <v>13</v>
      </c>
      <c r="D95" s="222">
        <f ca="1">IF($A95=1,0,IF($A95=2,OFFSET(D95,-1,0)+1,OFFSET(D95,-1,0)))</f>
        <v>0</v>
      </c>
      <c r="E95" s="222">
        <f ca="1">IF(AND($A95&lt;=2,$A95&lt;&gt;0),0,IF($A95=3,OFFSET(E95,-1,0)+1,OFFSET(E95,-1,0)))</f>
        <v>0</v>
      </c>
      <c r="F95" s="222">
        <f ca="1">IF(AND($A95&lt;=3,$A95&lt;&gt;0),0,IF($A95=4,OFFSET(F95,-1,0)+1,OFFSET(F95,-1,0)))</f>
        <v>0</v>
      </c>
      <c r="G95" s="222">
        <f ca="1">IF(AND($A95&lt;=4,$A95&lt;&gt;0),0,IF($A95="S",OFFSET(G95,-1,0)+1,OFFSET(G95,-1,0)))</f>
        <v>3</v>
      </c>
      <c r="H95" s="222">
        <f ca="1">IF(OR($A95="S",$A95=0),0,MATCH(0,OFFSET($B95,1,$A95,ROW($A$96)-ROW($A95)),0))</f>
        <v>0</v>
      </c>
      <c r="I95" s="222">
        <f ca="1">IF(OR($A95="S",$A95=0),0,MATCH(OFFSET($B95,0,$A95)+1,OFFSET($B95,1,$A95,ROW($A$96)-ROW($A95)),0))</f>
        <v>0</v>
      </c>
      <c r="J95" s="222">
        <f>LEN(LEFT($L95,LEN($L95)-1*(RIGHT($L95,1)=".")))-LEN(SUBSTITUTE(LEFT($L95,LEN($L95)-1*(RIGHT($L95,1)=".")),".",""))</f>
        <v>1</v>
      </c>
      <c r="K95" s="269" t="s">
        <v>4</v>
      </c>
      <c r="L95" s="336" t="s">
        <v>185</v>
      </c>
      <c r="M95" s="325" t="s">
        <v>186</v>
      </c>
      <c r="N95" s="326" t="s">
        <v>43</v>
      </c>
      <c r="O95" s="327">
        <v>26</v>
      </c>
      <c r="P95" s="328">
        <v>11.329615384615385</v>
      </c>
      <c r="Q95" s="329">
        <f>IF($A95="S",0,$R95)</f>
        <v>0</v>
      </c>
      <c r="R95" s="330">
        <f t="shared" si="51"/>
        <v>294.57</v>
      </c>
      <c r="S95" s="331">
        <f t="shared" si="33"/>
        <v>0</v>
      </c>
      <c r="T95" s="337">
        <f t="shared" si="31"/>
        <v>0</v>
      </c>
      <c r="U95" s="332">
        <f t="shared" si="52"/>
        <v>0</v>
      </c>
      <c r="V95" s="338">
        <f t="shared" si="32"/>
        <v>0</v>
      </c>
      <c r="W95" s="339">
        <f t="shared" si="53"/>
        <v>0</v>
      </c>
      <c r="X95" s="340">
        <f t="shared" si="54"/>
        <v>0</v>
      </c>
      <c r="Y95" s="333"/>
      <c r="Z95" s="334"/>
      <c r="AA95" s="328"/>
      <c r="AB95" s="328"/>
      <c r="AC95" s="328"/>
      <c r="AD95" s="328"/>
      <c r="AE95" s="328"/>
      <c r="AF95" s="328"/>
      <c r="AG95" s="328"/>
      <c r="AH95" s="328"/>
      <c r="AI95" s="328"/>
      <c r="AJ95" s="328"/>
      <c r="AK95" s="335"/>
      <c r="AL95" s="334"/>
      <c r="AM95" s="328"/>
      <c r="AN95" s="328"/>
      <c r="AO95" s="328"/>
      <c r="AP95" s="328"/>
      <c r="AQ95" s="271"/>
      <c r="AR95" s="271"/>
      <c r="AS95" s="271"/>
      <c r="AT95" s="271"/>
      <c r="AU95" s="271"/>
      <c r="AV95" s="271"/>
      <c r="AW95" s="272"/>
      <c r="AX95" s="245"/>
      <c r="AY95" s="273">
        <v>0</v>
      </c>
      <c r="AZ95" s="274">
        <f>BA95-AY95</f>
        <v>0</v>
      </c>
      <c r="BA95" s="275">
        <v>0</v>
      </c>
      <c r="BB95" s="276" t="e">
        <f>IF($A95="S",VTOTAL,IF($A95=0,0,ROUND(SomaAgrup,arredtot)))</f>
        <v>#REF!</v>
      </c>
      <c r="BC95" s="277" t="e">
        <f>BD95-BB95</f>
        <v>#REF!</v>
      </c>
      <c r="BD95" s="278" t="e">
        <f>IF($A95="S",VTOTAL,IF($A95=0,0,ROUND(SomaAgrup,arredtot)))</f>
        <v>#REF!</v>
      </c>
      <c r="BF95" s="770" t="e">
        <f>IF(BK95&gt;0,L95,"")</f>
        <v>#REF!</v>
      </c>
      <c r="BG95" s="771"/>
      <c r="BH95" s="279" t="e">
        <f>IF(BK95&gt;0,M95,"")</f>
        <v>#REF!</v>
      </c>
      <c r="BI95" s="772" t="e">
        <f>IF(BK95&gt;0,N95,"")</f>
        <v>#REF!</v>
      </c>
      <c r="BJ95" s="773"/>
      <c r="BK95" s="774" t="e">
        <f>IF(BR95&gt;0,CHOOSE(MATCH(RegimeExecucao,{"Unitário","Global"},0),IF($A95="S",BR95/BN95,""),(BR95/BN95)*100),"")</f>
        <v>#REF!</v>
      </c>
      <c r="BL95" s="775"/>
      <c r="BM95" s="776"/>
      <c r="BN95" s="777" t="e">
        <f>IF(BR95&gt;0,CHOOSE(MATCH(RegimeExecucao,{"Unitário","Global"},0),IF($A95="S",ROUND(P95,arredunit),""),ROUND(R95,arredtot)),"")</f>
        <v>#REF!</v>
      </c>
      <c r="BO95" s="778"/>
      <c r="BP95" s="778"/>
      <c r="BQ95" s="779"/>
      <c r="BR95" s="777" t="e">
        <f>$X95-$BD95</f>
        <v>#REF!</v>
      </c>
      <c r="BS95" s="778"/>
      <c r="BT95" s="778"/>
      <c r="BU95" s="779"/>
      <c r="BV95" s="780"/>
      <c r="BW95" s="780"/>
      <c r="BX95" s="780"/>
      <c r="BY95" s="780"/>
      <c r="BZ95" s="780"/>
      <c r="CA95" s="781"/>
      <c r="CB95" s="245"/>
      <c r="CC95" s="245"/>
    </row>
    <row r="96" spans="1:81" s="222" customFormat="1" ht="13.8">
      <c r="A96" s="222">
        <v>-1</v>
      </c>
      <c r="B96" s="222">
        <v>0</v>
      </c>
      <c r="C96" s="222">
        <v>0</v>
      </c>
      <c r="D96" s="222">
        <v>0</v>
      </c>
      <c r="E96" s="222">
        <v>0</v>
      </c>
      <c r="F96" s="222">
        <v>0</v>
      </c>
      <c r="G96" s="222">
        <v>0</v>
      </c>
      <c r="H96" s="270"/>
      <c r="I96" s="270"/>
      <c r="J96" s="270"/>
      <c r="K96" s="342"/>
      <c r="L96" s="342"/>
      <c r="M96" s="343"/>
      <c r="N96" s="344"/>
      <c r="O96" s="345"/>
      <c r="P96" s="344"/>
      <c r="Q96" s="344"/>
      <c r="R96" s="346"/>
      <c r="S96" s="344"/>
      <c r="T96" s="347"/>
      <c r="U96" s="348"/>
      <c r="V96" s="347"/>
      <c r="W96" s="344"/>
      <c r="X96" s="349"/>
      <c r="Y96" s="333"/>
      <c r="Z96" s="342"/>
      <c r="AA96" s="343"/>
      <c r="AB96" s="344"/>
      <c r="AC96" s="345"/>
      <c r="AD96" s="344"/>
      <c r="AE96" s="350"/>
      <c r="AF96" s="350"/>
      <c r="AG96" s="351"/>
      <c r="AH96" s="351"/>
      <c r="AI96" s="351"/>
      <c r="AJ96" s="344"/>
      <c r="AK96" s="349"/>
      <c r="AL96" s="342"/>
      <c r="AM96" s="343"/>
      <c r="AN96" s="344"/>
      <c r="AO96" s="345"/>
      <c r="AP96" s="344"/>
      <c r="AQ96" s="283"/>
      <c r="AR96" s="283"/>
      <c r="AS96" s="284"/>
      <c r="AT96" s="284"/>
      <c r="AU96" s="284"/>
      <c r="AV96" s="280"/>
      <c r="AW96" s="282"/>
      <c r="AX96" s="270"/>
      <c r="AY96" s="285"/>
      <c r="AZ96" s="281"/>
      <c r="BA96" s="286"/>
      <c r="BB96" s="281"/>
      <c r="BC96" s="280"/>
      <c r="BD96" s="282"/>
      <c r="BF96" s="765"/>
      <c r="BG96" s="766"/>
      <c r="BH96" s="360"/>
      <c r="BI96" s="766"/>
      <c r="BJ96" s="766"/>
      <c r="BK96" s="766"/>
      <c r="BL96" s="766"/>
      <c r="BM96" s="766"/>
      <c r="BN96" s="766"/>
      <c r="BO96" s="766"/>
      <c r="BP96" s="766"/>
      <c r="BQ96" s="766"/>
      <c r="BR96" s="767"/>
      <c r="BS96" s="766"/>
      <c r="BT96" s="766"/>
      <c r="BU96" s="766"/>
      <c r="BV96" s="768"/>
      <c r="BW96" s="768"/>
      <c r="BX96" s="768"/>
      <c r="BY96" s="768"/>
      <c r="BZ96" s="768"/>
      <c r="CA96" s="769"/>
      <c r="CB96" s="270"/>
      <c r="CC96" s="270"/>
    </row>
    <row r="97" spans="9:81" s="222" customFormat="1" ht="13.8">
      <c r="I97" s="358"/>
      <c r="J97" s="358"/>
      <c r="K97" s="358"/>
      <c r="L97" s="358"/>
      <c r="M97" s="358"/>
      <c r="N97" s="358"/>
      <c r="O97" s="358"/>
      <c r="P97" s="358"/>
      <c r="Q97" s="358"/>
      <c r="R97" s="358"/>
      <c r="S97" s="358"/>
      <c r="T97" s="233"/>
      <c r="U97" s="233"/>
      <c r="V97" s="233"/>
      <c r="W97" s="358"/>
      <c r="X97" s="358"/>
      <c r="Y97" s="358"/>
      <c r="Z97" s="358"/>
      <c r="AA97" s="358"/>
      <c r="AB97" s="358"/>
      <c r="AC97" s="358"/>
      <c r="AD97" s="358"/>
      <c r="AE97" s="358"/>
      <c r="AF97" s="358"/>
      <c r="AG97" s="358"/>
      <c r="AH97" s="358"/>
      <c r="AI97" s="358"/>
      <c r="AJ97" s="358"/>
      <c r="AK97" s="358"/>
      <c r="AL97" s="358"/>
      <c r="AM97" s="358"/>
      <c r="AN97" s="358"/>
      <c r="AO97" s="358"/>
      <c r="AP97" s="358"/>
      <c r="AQ97" s="358"/>
      <c r="AR97" s="358"/>
      <c r="AS97" s="358"/>
      <c r="AT97" s="358"/>
      <c r="AU97" s="358"/>
      <c r="AV97" s="358"/>
      <c r="AW97" s="358"/>
      <c r="AX97" s="358"/>
      <c r="AY97" s="358"/>
      <c r="AZ97" s="358"/>
      <c r="BA97" s="358"/>
      <c r="BB97" s="358"/>
      <c r="BC97" s="358"/>
      <c r="BD97" s="358"/>
      <c r="BF97" s="358"/>
      <c r="BG97" s="358"/>
      <c r="BH97" s="358"/>
      <c r="BI97" s="358"/>
      <c r="BJ97" s="358"/>
      <c r="BK97" s="358"/>
      <c r="BL97" s="358"/>
      <c r="BM97" s="358"/>
      <c r="BN97" s="358"/>
      <c r="BO97" s="358"/>
      <c r="BP97" s="358"/>
      <c r="BQ97" s="358"/>
      <c r="BR97" s="358"/>
      <c r="BS97" s="358"/>
      <c r="BT97" s="358"/>
      <c r="BU97" s="358"/>
      <c r="BV97" s="358"/>
      <c r="BW97" s="358"/>
      <c r="BX97" s="358"/>
      <c r="BY97" s="358"/>
      <c r="BZ97" s="358"/>
      <c r="CA97" s="358"/>
      <c r="CB97" s="358"/>
      <c r="CC97" s="358" t="b">
        <v>0</v>
      </c>
    </row>
    <row r="98" spans="9:81" s="222" customFormat="1" ht="13.8">
      <c r="I98" s="358"/>
      <c r="J98" s="358"/>
      <c r="K98" s="358"/>
      <c r="L98" s="233" t="s">
        <v>187</v>
      </c>
      <c r="M98" s="827"/>
      <c r="N98" s="828"/>
      <c r="O98" s="828"/>
      <c r="P98" s="828"/>
      <c r="Q98" s="828"/>
      <c r="R98" s="828"/>
      <c r="S98" s="828"/>
      <c r="T98" s="828"/>
      <c r="U98" s="828"/>
      <c r="V98" s="828"/>
      <c r="W98" s="828"/>
      <c r="X98" s="829"/>
      <c r="Y98" s="358"/>
      <c r="Z98" s="358"/>
      <c r="AA98" s="358"/>
      <c r="AB98" s="358"/>
      <c r="AC98" s="358"/>
      <c r="AD98" s="358"/>
      <c r="AE98" s="358"/>
      <c r="AF98" s="358"/>
      <c r="AG98" s="358"/>
      <c r="AH98" s="358"/>
      <c r="AI98" s="358"/>
      <c r="AJ98" s="358"/>
      <c r="AK98" s="358"/>
      <c r="AL98" s="358"/>
      <c r="AM98" s="358"/>
      <c r="AN98" s="358"/>
      <c r="AO98" s="358"/>
      <c r="AP98" s="358"/>
      <c r="AQ98" s="358"/>
      <c r="AR98" s="358"/>
      <c r="AS98" s="358"/>
      <c r="AT98" s="358"/>
      <c r="AU98" s="358"/>
      <c r="AV98" s="358"/>
      <c r="AW98" s="358"/>
      <c r="AX98" s="358"/>
      <c r="AY98" s="288"/>
      <c r="AZ98" s="358"/>
      <c r="BA98" s="358"/>
      <c r="BB98" s="358"/>
      <c r="BC98" s="358"/>
      <c r="BD98" s="358"/>
      <c r="BF98" s="745"/>
      <c r="BG98" s="746"/>
      <c r="BH98" s="746"/>
      <c r="BI98" s="746"/>
      <c r="BJ98" s="746"/>
      <c r="BK98" s="746"/>
      <c r="BL98" s="746"/>
      <c r="BM98" s="746"/>
      <c r="BN98" s="746"/>
      <c r="BO98" s="746"/>
      <c r="BP98" s="746"/>
      <c r="BQ98" s="746"/>
      <c r="BR98" s="746"/>
      <c r="BS98" s="746"/>
      <c r="BT98" s="746"/>
      <c r="BU98" s="746"/>
      <c r="BV98" s="746"/>
      <c r="BW98" s="746"/>
      <c r="BX98" s="746"/>
      <c r="BY98" s="746"/>
      <c r="BZ98" s="746"/>
      <c r="CA98" s="747"/>
      <c r="CB98" s="358"/>
      <c r="CC98" s="289"/>
    </row>
    <row r="99" spans="9:81" s="222" customFormat="1" ht="13.8">
      <c r="I99" s="358"/>
      <c r="J99" s="358"/>
      <c r="K99" s="358"/>
      <c r="L99" s="358"/>
      <c r="M99" s="358"/>
      <c r="N99" s="358"/>
      <c r="O99" s="358"/>
      <c r="P99" s="358"/>
      <c r="Q99" s="358"/>
      <c r="R99" s="358"/>
      <c r="S99" s="358"/>
      <c r="T99" s="233"/>
      <c r="U99" s="233"/>
      <c r="V99" s="228"/>
      <c r="W99" s="228"/>
      <c r="X99" s="228"/>
      <c r="Y99" s="358"/>
      <c r="Z99" s="358"/>
      <c r="AA99" s="358"/>
      <c r="AB99" s="358"/>
      <c r="AC99" s="358"/>
      <c r="AD99" s="358"/>
      <c r="AE99" s="358"/>
      <c r="AF99" s="358"/>
      <c r="AG99" s="358"/>
      <c r="AH99" s="358"/>
      <c r="AI99" s="358"/>
      <c r="AJ99" s="358"/>
      <c r="AK99" s="358"/>
      <c r="AL99" s="358"/>
      <c r="AM99" s="358"/>
      <c r="AN99" s="358"/>
      <c r="AO99" s="358"/>
      <c r="AP99" s="358"/>
      <c r="AQ99" s="358"/>
      <c r="AR99" s="358"/>
      <c r="AS99" s="358"/>
      <c r="AT99" s="358"/>
      <c r="AU99" s="358"/>
      <c r="AV99" s="358"/>
      <c r="AW99" s="358"/>
      <c r="AX99" s="358"/>
      <c r="AY99" s="358"/>
      <c r="AZ99" s="358"/>
      <c r="BA99" s="358"/>
      <c r="BB99" s="358"/>
      <c r="BC99" s="358"/>
      <c r="BD99" s="358"/>
      <c r="BF99" s="358"/>
      <c r="BG99" s="358"/>
      <c r="BH99" s="358"/>
      <c r="BI99" s="358"/>
      <c r="BJ99" s="358"/>
      <c r="BK99" s="358"/>
      <c r="BL99" s="358"/>
      <c r="BM99" s="358"/>
      <c r="BN99" s="358"/>
      <c r="BO99" s="358"/>
      <c r="BP99" s="358"/>
      <c r="BQ99" s="358"/>
      <c r="BR99" s="358"/>
      <c r="BS99" s="358"/>
      <c r="BT99" s="358"/>
      <c r="BU99" s="358"/>
      <c r="BV99" s="358"/>
      <c r="BW99" s="358"/>
      <c r="BX99" s="358"/>
      <c r="BY99" s="358"/>
      <c r="BZ99" s="358"/>
      <c r="CA99" s="358"/>
      <c r="CB99" s="358"/>
      <c r="CC99" s="289"/>
    </row>
    <row r="100" spans="9:81" s="222" customFormat="1" ht="13.8">
      <c r="I100" s="358"/>
      <c r="J100" s="358"/>
      <c r="K100" s="358"/>
      <c r="L100" s="290" t="s">
        <v>188</v>
      </c>
      <c r="M100" s="748" t="str">
        <f>IF(OR(AND($R$3=FALSE,$S$3=FALSE,RegimeExecucao="Global"),AND($O$3=FALSE,$P$3=FALSE,$R$3=FALSE,$S$3=FALSE)),"Não foi considerado arredondamento nos valores da planilha.",CONCATENATE("Foi considerado arredondamento de duas casas decimais para ",IF(AND(RegimeExecucao="Unitário",$O$3=TRUE),"Quantidade; ",""),IF(AND(RegimeExecucao="Unitário",$P$3=TRUE),"Preço unitário; ",""),IF($R$3=TRUE,"Preço total; ",""),,IF($S$3=TRUE,"Medição.","")))</f>
        <v>Não foi considerado arredondamento nos valores da planilha.</v>
      </c>
      <c r="N100" s="749"/>
      <c r="O100" s="749"/>
      <c r="P100" s="749"/>
      <c r="Q100" s="749"/>
      <c r="R100" s="750"/>
      <c r="S100" s="291"/>
      <c r="T100" s="227"/>
      <c r="U100" s="227"/>
      <c r="V100" s="228"/>
      <c r="W100" s="228"/>
      <c r="X100" s="228"/>
      <c r="Y100" s="358"/>
      <c r="Z100" s="358"/>
      <c r="AA100" s="358"/>
      <c r="AB100" s="358"/>
      <c r="AC100" s="358"/>
      <c r="AD100" s="358"/>
      <c r="AE100" s="358"/>
      <c r="AF100" s="358"/>
      <c r="AG100" s="358"/>
      <c r="AH100" s="358"/>
      <c r="AI100" s="358"/>
      <c r="AJ100" s="358"/>
      <c r="AK100" s="358"/>
      <c r="AL100" s="358"/>
      <c r="AM100" s="358"/>
      <c r="AN100" s="358"/>
      <c r="AO100" s="358"/>
      <c r="AP100" s="358"/>
      <c r="AQ100" s="358"/>
      <c r="AR100" s="358"/>
      <c r="AS100" s="358"/>
      <c r="AT100" s="358"/>
      <c r="AU100" s="358"/>
      <c r="AV100" s="358"/>
      <c r="AW100" s="358"/>
      <c r="AX100" s="358"/>
      <c r="AY100" s="358"/>
      <c r="AZ100" s="358"/>
      <c r="BA100" s="358"/>
      <c r="BB100" s="358"/>
      <c r="BC100" s="358"/>
      <c r="BD100" s="358"/>
      <c r="BF100" s="358"/>
      <c r="BG100" s="358"/>
      <c r="BH100" s="358"/>
      <c r="BI100" s="358"/>
      <c r="BJ100" s="358"/>
      <c r="BK100" s="358"/>
      <c r="BL100" s="358"/>
      <c r="BM100" s="358"/>
      <c r="BN100" s="358"/>
      <c r="BO100" s="358"/>
      <c r="BP100" s="358"/>
      <c r="BQ100" s="358"/>
      <c r="BR100" s="358"/>
      <c r="BS100" s="358"/>
      <c r="BT100" s="358"/>
      <c r="BU100" s="358"/>
      <c r="BV100" s="358"/>
      <c r="BW100" s="358"/>
      <c r="BX100" s="358"/>
      <c r="BY100" s="358"/>
      <c r="BZ100" s="358"/>
      <c r="CA100" s="358"/>
      <c r="CB100" s="358"/>
      <c r="CC100" s="289"/>
    </row>
    <row r="101" spans="9:81" s="222" customFormat="1" ht="13.8">
      <c r="I101" s="359"/>
      <c r="J101" s="359"/>
      <c r="K101" s="359"/>
      <c r="L101" s="751" t="s">
        <v>189</v>
      </c>
      <c r="M101" s="751"/>
      <c r="N101" s="751"/>
      <c r="O101" s="751"/>
      <c r="P101" s="751"/>
      <c r="Q101" s="751"/>
      <c r="R101" s="751"/>
      <c r="S101" s="751"/>
      <c r="T101" s="751"/>
      <c r="U101" s="751"/>
      <c r="V101" s="751"/>
      <c r="W101" s="751"/>
      <c r="X101" s="751"/>
      <c r="Y101" s="359"/>
      <c r="Z101" s="359"/>
      <c r="AA101" s="359"/>
      <c r="AB101" s="359"/>
      <c r="AC101" s="359"/>
      <c r="AD101" s="359"/>
      <c r="AE101" s="359"/>
      <c r="AF101" s="359"/>
      <c r="AG101" s="359"/>
      <c r="AH101" s="359"/>
      <c r="AI101" s="359"/>
      <c r="AJ101" s="359"/>
      <c r="AK101" s="359"/>
      <c r="AL101" s="359"/>
      <c r="AM101" s="359"/>
      <c r="AN101" s="359"/>
      <c r="AO101" s="359"/>
      <c r="AP101" s="359"/>
      <c r="AQ101" s="359"/>
      <c r="AR101" s="359"/>
      <c r="AS101" s="359"/>
      <c r="AT101" s="359"/>
      <c r="AU101" s="359"/>
      <c r="AV101" s="359"/>
      <c r="AW101" s="359"/>
      <c r="AX101" s="359"/>
      <c r="AY101" s="359"/>
      <c r="AZ101" s="359"/>
      <c r="BA101" s="359"/>
      <c r="BB101" s="359"/>
      <c r="BC101" s="359"/>
      <c r="BD101" s="359"/>
      <c r="BF101" s="359"/>
      <c r="BG101" s="359"/>
      <c r="BH101" s="359"/>
      <c r="BI101" s="359"/>
      <c r="BJ101" s="359"/>
      <c r="BK101" s="359"/>
      <c r="BL101" s="359"/>
      <c r="BM101" s="359"/>
      <c r="BN101" s="359"/>
      <c r="BO101" s="359"/>
      <c r="BP101" s="359"/>
      <c r="BQ101" s="359"/>
      <c r="BR101" s="359"/>
      <c r="BS101" s="359"/>
      <c r="BT101" s="359"/>
      <c r="BU101" s="359"/>
      <c r="BV101" s="359"/>
      <c r="BW101" s="359"/>
      <c r="BX101" s="359"/>
      <c r="BY101" s="359"/>
      <c r="BZ101" s="359"/>
      <c r="CA101" s="359"/>
      <c r="CB101" s="359"/>
      <c r="CC101" s="292" t="s">
        <v>189</v>
      </c>
    </row>
    <row r="102" spans="9:81" s="222" customFormat="1" ht="13.8">
      <c r="I102" s="359"/>
      <c r="J102" s="359"/>
      <c r="K102" s="359"/>
      <c r="L102" s="355"/>
      <c r="M102" s="355"/>
      <c r="N102" s="355"/>
      <c r="O102" s="355"/>
      <c r="P102" s="355"/>
      <c r="Q102" s="355"/>
      <c r="R102" s="355"/>
      <c r="S102" s="355"/>
      <c r="T102" s="355"/>
      <c r="U102" s="355"/>
      <c r="V102" s="355"/>
      <c r="W102" s="355"/>
      <c r="X102" s="355"/>
      <c r="Y102" s="359"/>
      <c r="Z102" s="359"/>
      <c r="AA102" s="359"/>
      <c r="AB102" s="359"/>
      <c r="AC102" s="359"/>
      <c r="AD102" s="359"/>
      <c r="AE102" s="359"/>
      <c r="AF102" s="359"/>
      <c r="AG102" s="359"/>
      <c r="AH102" s="359"/>
      <c r="AI102" s="359"/>
      <c r="AJ102" s="359"/>
      <c r="AK102" s="359"/>
      <c r="AL102" s="359"/>
      <c r="AM102" s="359"/>
      <c r="AN102" s="359"/>
      <c r="AO102" s="359"/>
      <c r="AP102" s="359"/>
      <c r="AQ102" s="359"/>
      <c r="AR102" s="359"/>
      <c r="AS102" s="359"/>
      <c r="AT102" s="359"/>
      <c r="AU102" s="359"/>
      <c r="AV102" s="359"/>
      <c r="AW102" s="359"/>
      <c r="AX102" s="359"/>
      <c r="AY102" s="359"/>
      <c r="AZ102" s="359"/>
      <c r="BA102" s="359"/>
      <c r="BB102" s="359"/>
      <c r="BC102" s="359"/>
      <c r="BD102" s="359"/>
      <c r="BF102" s="359"/>
      <c r="BG102" s="359"/>
      <c r="BH102" s="359"/>
      <c r="BI102" s="359"/>
      <c r="BJ102" s="359"/>
      <c r="BK102" s="359"/>
      <c r="BL102" s="359"/>
      <c r="BM102" s="359"/>
      <c r="BN102" s="359"/>
      <c r="BO102" s="359"/>
      <c r="BP102" s="359"/>
      <c r="BQ102" s="359"/>
      <c r="BR102" s="359"/>
      <c r="BS102" s="359"/>
      <c r="BT102" s="359"/>
      <c r="BU102" s="359"/>
      <c r="BV102" s="359"/>
      <c r="BW102" s="359"/>
      <c r="BX102" s="359"/>
      <c r="BY102" s="359"/>
      <c r="BZ102" s="359"/>
      <c r="CA102" s="359"/>
      <c r="CB102" s="359"/>
      <c r="CC102" s="292"/>
    </row>
    <row r="103" spans="9:81" s="222" customFormat="1" ht="13.8">
      <c r="I103" s="359"/>
      <c r="J103" s="359"/>
      <c r="K103" s="359"/>
      <c r="L103" s="355"/>
      <c r="M103" s="355"/>
      <c r="N103" s="355"/>
      <c r="O103" s="355"/>
      <c r="P103" s="355"/>
      <c r="Q103" s="355"/>
      <c r="R103" s="355"/>
      <c r="S103" s="355"/>
      <c r="T103" s="355"/>
      <c r="U103" s="355"/>
      <c r="V103" s="355"/>
      <c r="W103" s="355"/>
      <c r="X103" s="355"/>
      <c r="Y103" s="359"/>
      <c r="Z103" s="359"/>
      <c r="AA103" s="359"/>
      <c r="AB103" s="359"/>
      <c r="AC103" s="359"/>
      <c r="AD103" s="359"/>
      <c r="AE103" s="359"/>
      <c r="AF103" s="359"/>
      <c r="AG103" s="359"/>
      <c r="AH103" s="359"/>
      <c r="AI103" s="359"/>
      <c r="AJ103" s="359"/>
      <c r="AK103" s="359"/>
      <c r="AL103" s="359"/>
      <c r="AM103" s="359"/>
      <c r="AN103" s="359"/>
      <c r="AO103" s="359"/>
      <c r="AP103" s="359"/>
      <c r="AQ103" s="359"/>
      <c r="AR103" s="359"/>
      <c r="AS103" s="359"/>
      <c r="AT103" s="359"/>
      <c r="AU103" s="359"/>
      <c r="AV103" s="359"/>
      <c r="AW103" s="359"/>
      <c r="AX103" s="359"/>
      <c r="AY103" s="359"/>
      <c r="AZ103" s="359"/>
      <c r="BA103" s="359"/>
      <c r="BB103" s="359"/>
      <c r="BC103" s="359"/>
      <c r="BD103" s="359"/>
      <c r="BF103" s="359"/>
      <c r="BG103" s="359"/>
      <c r="BH103" s="359"/>
      <c r="BI103" s="359"/>
      <c r="BJ103" s="359"/>
      <c r="BK103" s="359"/>
      <c r="BL103" s="359"/>
      <c r="BM103" s="359"/>
      <c r="BN103" s="359"/>
      <c r="BO103" s="359"/>
      <c r="BP103" s="359"/>
      <c r="BQ103" s="359"/>
      <c r="BR103" s="359"/>
      <c r="BS103" s="359"/>
      <c r="BT103" s="359"/>
      <c r="BU103" s="359"/>
      <c r="BV103" s="359"/>
      <c r="BW103" s="359"/>
      <c r="BX103" s="359"/>
      <c r="BY103" s="359"/>
      <c r="BZ103" s="359"/>
      <c r="CA103" s="359"/>
      <c r="CB103" s="359"/>
      <c r="CC103" s="292"/>
    </row>
    <row r="104" spans="9:81" s="222" customFormat="1" ht="13.8">
      <c r="I104" s="359"/>
      <c r="J104" s="359"/>
      <c r="K104" s="359"/>
      <c r="L104" s="355"/>
      <c r="M104" s="355"/>
      <c r="N104" s="355"/>
      <c r="O104" s="355"/>
      <c r="P104" s="355"/>
      <c r="Q104" s="355"/>
      <c r="R104" s="355"/>
      <c r="S104" s="355"/>
      <c r="T104" s="355"/>
      <c r="U104" s="355"/>
      <c r="V104" s="355"/>
      <c r="W104" s="355"/>
      <c r="X104" s="355"/>
      <c r="Y104" s="359"/>
      <c r="Z104" s="359"/>
      <c r="AA104" s="359"/>
      <c r="AB104" s="359"/>
      <c r="AC104" s="359"/>
      <c r="AD104" s="359"/>
      <c r="AE104" s="359"/>
      <c r="AF104" s="359"/>
      <c r="AG104" s="359"/>
      <c r="AH104" s="359"/>
      <c r="AI104" s="359"/>
      <c r="AJ104" s="359"/>
      <c r="AK104" s="359"/>
      <c r="AL104" s="359"/>
      <c r="AM104" s="359"/>
      <c r="AN104" s="359"/>
      <c r="AO104" s="359"/>
      <c r="AP104" s="359"/>
      <c r="AQ104" s="359"/>
      <c r="AR104" s="359"/>
      <c r="AS104" s="359"/>
      <c r="AT104" s="359"/>
      <c r="AU104" s="359"/>
      <c r="AV104" s="359"/>
      <c r="AW104" s="359"/>
      <c r="AX104" s="359"/>
      <c r="AY104" s="359"/>
      <c r="AZ104" s="359"/>
      <c r="BA104" s="359"/>
      <c r="BB104" s="359"/>
      <c r="BC104" s="359"/>
      <c r="BD104" s="359"/>
      <c r="BF104" s="359"/>
      <c r="BG104" s="359"/>
      <c r="BH104" s="359"/>
      <c r="BI104" s="359"/>
      <c r="BJ104" s="359"/>
      <c r="BK104" s="359"/>
      <c r="BL104" s="359"/>
      <c r="BM104" s="359"/>
      <c r="BN104" s="359"/>
      <c r="BO104" s="359"/>
      <c r="BP104" s="359"/>
      <c r="BQ104" s="359"/>
      <c r="BR104" s="359"/>
      <c r="BS104" s="359"/>
      <c r="BT104" s="359"/>
      <c r="BU104" s="359"/>
      <c r="BV104" s="359"/>
      <c r="BW104" s="359"/>
      <c r="BX104" s="359"/>
      <c r="BY104" s="359"/>
      <c r="BZ104" s="359"/>
      <c r="CA104" s="359"/>
      <c r="CB104" s="359"/>
      <c r="CC104" s="292"/>
    </row>
    <row r="105" spans="9:81" s="222" customFormat="1" ht="13.8">
      <c r="I105" s="359"/>
      <c r="J105" s="359"/>
      <c r="K105" s="359"/>
      <c r="L105" s="355"/>
      <c r="M105" s="355"/>
      <c r="N105" s="355"/>
      <c r="O105" s="355"/>
      <c r="P105" s="355"/>
      <c r="Q105" s="355"/>
      <c r="R105" s="355"/>
      <c r="S105" s="355"/>
      <c r="T105" s="355"/>
      <c r="U105" s="355"/>
      <c r="V105" s="355"/>
      <c r="W105" s="355"/>
      <c r="X105" s="355"/>
      <c r="Y105" s="359"/>
      <c r="Z105" s="359"/>
      <c r="AA105" s="359"/>
      <c r="AB105" s="359"/>
      <c r="AC105" s="359"/>
      <c r="AD105" s="359"/>
      <c r="AE105" s="359"/>
      <c r="AF105" s="359"/>
      <c r="AG105" s="359"/>
      <c r="AH105" s="359"/>
      <c r="AI105" s="359"/>
      <c r="AJ105" s="359"/>
      <c r="AK105" s="359"/>
      <c r="AL105" s="359"/>
      <c r="AM105" s="359"/>
      <c r="AN105" s="359"/>
      <c r="AO105" s="359"/>
      <c r="AP105" s="359"/>
      <c r="AQ105" s="359"/>
      <c r="AR105" s="359"/>
      <c r="AS105" s="359"/>
      <c r="AT105" s="359"/>
      <c r="AU105" s="359"/>
      <c r="AV105" s="359"/>
      <c r="AW105" s="359"/>
      <c r="AX105" s="359"/>
      <c r="AY105" s="359"/>
      <c r="AZ105" s="359"/>
      <c r="BA105" s="359"/>
      <c r="BB105" s="359"/>
      <c r="BC105" s="359"/>
      <c r="BD105" s="359"/>
      <c r="BF105" s="359"/>
      <c r="BG105" s="359"/>
      <c r="BH105" s="359"/>
      <c r="BI105" s="359"/>
      <c r="BJ105" s="359"/>
      <c r="BK105" s="359"/>
      <c r="BL105" s="359"/>
      <c r="BM105" s="359"/>
      <c r="BN105" s="359"/>
      <c r="BO105" s="359"/>
      <c r="BP105" s="359"/>
      <c r="BQ105" s="359"/>
      <c r="BR105" s="359"/>
      <c r="BS105" s="359"/>
      <c r="BT105" s="359"/>
      <c r="BU105" s="359"/>
      <c r="BV105" s="359"/>
      <c r="BW105" s="359"/>
      <c r="BX105" s="359"/>
      <c r="BY105" s="359"/>
      <c r="BZ105" s="359"/>
      <c r="CA105" s="359"/>
      <c r="CB105" s="359"/>
      <c r="CC105" s="292"/>
    </row>
    <row r="106" spans="9:81" s="222" customFormat="1" ht="13.8">
      <c r="I106" s="359"/>
      <c r="J106" s="359"/>
      <c r="K106" s="359"/>
      <c r="L106" s="355"/>
      <c r="M106" s="355"/>
      <c r="N106" s="355"/>
      <c r="O106" s="355"/>
      <c r="P106" s="355"/>
      <c r="Q106" s="355"/>
      <c r="R106" s="355"/>
      <c r="S106" s="355"/>
      <c r="T106" s="355"/>
      <c r="U106" s="355"/>
      <c r="V106" s="355"/>
      <c r="W106" s="355"/>
      <c r="X106" s="355"/>
      <c r="Y106" s="359"/>
      <c r="Z106" s="359"/>
      <c r="AA106" s="359"/>
      <c r="AB106" s="359"/>
      <c r="AC106" s="359"/>
      <c r="AD106" s="359"/>
      <c r="AE106" s="359"/>
      <c r="AF106" s="359"/>
      <c r="AG106" s="359"/>
      <c r="AH106" s="359"/>
      <c r="AI106" s="359"/>
      <c r="AJ106" s="359"/>
      <c r="AK106" s="359"/>
      <c r="AL106" s="359"/>
      <c r="AM106" s="359"/>
      <c r="AN106" s="359"/>
      <c r="AO106" s="359"/>
      <c r="AP106" s="359"/>
      <c r="AQ106" s="359"/>
      <c r="AR106" s="359"/>
      <c r="AS106" s="359"/>
      <c r="AT106" s="359"/>
      <c r="AU106" s="359"/>
      <c r="AV106" s="359"/>
      <c r="AW106" s="359"/>
      <c r="AX106" s="359"/>
      <c r="AY106" s="359"/>
      <c r="AZ106" s="359"/>
      <c r="BA106" s="359"/>
      <c r="BB106" s="359"/>
      <c r="BC106" s="359"/>
      <c r="BD106" s="359"/>
      <c r="BF106" s="359"/>
      <c r="BG106" s="359"/>
      <c r="BH106" s="359"/>
      <c r="BI106" s="359"/>
      <c r="BJ106" s="359"/>
      <c r="BK106" s="359"/>
      <c r="BL106" s="359"/>
      <c r="BM106" s="359"/>
      <c r="BN106" s="359"/>
      <c r="BO106" s="359"/>
      <c r="BP106" s="359"/>
      <c r="BQ106" s="359"/>
      <c r="BR106" s="359"/>
      <c r="BS106" s="359"/>
      <c r="BT106" s="359"/>
      <c r="BU106" s="359"/>
      <c r="BV106" s="359"/>
      <c r="BW106" s="359"/>
      <c r="BX106" s="359"/>
      <c r="BY106" s="359"/>
      <c r="BZ106" s="359"/>
      <c r="CA106" s="359"/>
      <c r="CB106" s="359"/>
      <c r="CC106" s="292"/>
    </row>
    <row r="107" spans="9:81" s="222" customFormat="1" ht="13.8">
      <c r="I107" s="359"/>
      <c r="J107" s="359"/>
      <c r="K107" s="359"/>
      <c r="L107" s="355"/>
      <c r="M107" s="355"/>
      <c r="N107" s="355"/>
      <c r="O107" s="355"/>
      <c r="P107" s="355"/>
      <c r="Q107" s="355"/>
      <c r="R107" s="355"/>
      <c r="S107" s="355"/>
      <c r="T107" s="355"/>
      <c r="U107" s="355"/>
      <c r="V107" s="355"/>
      <c r="W107" s="355"/>
      <c r="X107" s="355"/>
      <c r="Y107" s="359"/>
      <c r="Z107" s="359"/>
      <c r="AA107" s="359"/>
      <c r="AB107" s="359"/>
      <c r="AC107" s="359"/>
      <c r="AD107" s="359"/>
      <c r="AE107" s="359"/>
      <c r="AF107" s="359"/>
      <c r="AG107" s="359"/>
      <c r="AH107" s="359"/>
      <c r="AI107" s="359"/>
      <c r="AJ107" s="359"/>
      <c r="AK107" s="359"/>
      <c r="AL107" s="359"/>
      <c r="AM107" s="359"/>
      <c r="AN107" s="359"/>
      <c r="AO107" s="359"/>
      <c r="AP107" s="359"/>
      <c r="AQ107" s="359"/>
      <c r="AR107" s="359"/>
      <c r="AS107" s="359"/>
      <c r="AT107" s="359"/>
      <c r="AU107" s="359"/>
      <c r="AV107" s="359"/>
      <c r="AW107" s="359"/>
      <c r="AX107" s="359"/>
      <c r="AY107" s="359"/>
      <c r="AZ107" s="359"/>
      <c r="BA107" s="359"/>
      <c r="BB107" s="359"/>
      <c r="BC107" s="359"/>
      <c r="BD107" s="359"/>
      <c r="BF107" s="359"/>
      <c r="BG107" s="359"/>
      <c r="BH107" s="359"/>
      <c r="BI107" s="359"/>
      <c r="BJ107" s="359"/>
      <c r="BK107" s="359"/>
      <c r="BL107" s="359"/>
      <c r="BM107" s="359"/>
      <c r="BN107" s="359"/>
      <c r="BO107" s="359"/>
      <c r="BP107" s="359"/>
      <c r="BQ107" s="359"/>
      <c r="BR107" s="359"/>
      <c r="BS107" s="359"/>
      <c r="BT107" s="359"/>
      <c r="BU107" s="359"/>
      <c r="BV107" s="359"/>
      <c r="BW107" s="359"/>
      <c r="BX107" s="359"/>
      <c r="BY107" s="359"/>
      <c r="BZ107" s="359"/>
      <c r="CA107" s="359"/>
      <c r="CB107" s="359"/>
      <c r="CC107" s="292"/>
    </row>
    <row r="108" spans="9:81" s="222" customFormat="1" ht="13.8">
      <c r="I108" s="359"/>
      <c r="J108" s="359"/>
      <c r="K108" s="359"/>
      <c r="L108" s="355"/>
      <c r="M108" s="355"/>
      <c r="N108" s="355"/>
      <c r="O108" s="355"/>
      <c r="P108" s="355"/>
      <c r="Q108" s="355"/>
      <c r="R108" s="355"/>
      <c r="S108" s="355"/>
      <c r="T108" s="355"/>
      <c r="U108" s="355"/>
      <c r="V108" s="355"/>
      <c r="W108" s="355"/>
      <c r="X108" s="355"/>
      <c r="Y108" s="359"/>
      <c r="Z108" s="359"/>
      <c r="AA108" s="359"/>
      <c r="AB108" s="359"/>
      <c r="AC108" s="359"/>
      <c r="AD108" s="359"/>
      <c r="AE108" s="359"/>
      <c r="AF108" s="359"/>
      <c r="AG108" s="359"/>
      <c r="AH108" s="359"/>
      <c r="AI108" s="359"/>
      <c r="AJ108" s="359"/>
      <c r="AK108" s="359"/>
      <c r="AL108" s="359"/>
      <c r="AM108" s="359"/>
      <c r="AN108" s="359"/>
      <c r="AO108" s="359"/>
      <c r="AP108" s="359"/>
      <c r="AQ108" s="359"/>
      <c r="AR108" s="359"/>
      <c r="AS108" s="359"/>
      <c r="AT108" s="359"/>
      <c r="AU108" s="359"/>
      <c r="AV108" s="359"/>
      <c r="AW108" s="359"/>
      <c r="AX108" s="359"/>
      <c r="AY108" s="359"/>
      <c r="AZ108" s="359"/>
      <c r="BA108" s="359"/>
      <c r="BB108" s="359"/>
      <c r="BC108" s="359"/>
      <c r="BD108" s="359"/>
      <c r="BF108" s="359"/>
      <c r="BG108" s="359"/>
      <c r="BH108" s="359"/>
      <c r="BI108" s="359"/>
      <c r="BJ108" s="359"/>
      <c r="BK108" s="359"/>
      <c r="BL108" s="359"/>
      <c r="BM108" s="359"/>
      <c r="BN108" s="359"/>
      <c r="BO108" s="359"/>
      <c r="BP108" s="359"/>
      <c r="BQ108" s="359"/>
      <c r="BR108" s="359"/>
      <c r="BS108" s="359"/>
      <c r="BT108" s="359"/>
      <c r="BU108" s="359"/>
      <c r="BV108" s="359"/>
      <c r="BW108" s="359"/>
      <c r="BX108" s="359"/>
      <c r="BY108" s="359"/>
      <c r="BZ108" s="359"/>
      <c r="CA108" s="359"/>
      <c r="CB108" s="359"/>
      <c r="CC108" s="292"/>
    </row>
    <row r="109" spans="9:81" s="222" customFormat="1" ht="13.8">
      <c r="I109" s="359"/>
      <c r="J109" s="359"/>
      <c r="K109" s="359"/>
      <c r="L109" s="355"/>
      <c r="M109" s="355"/>
      <c r="N109" s="355"/>
      <c r="O109" s="355"/>
      <c r="P109" s="355"/>
      <c r="Q109" s="355"/>
      <c r="R109" s="355"/>
      <c r="S109" s="355"/>
      <c r="T109" s="355"/>
      <c r="U109" s="355"/>
      <c r="V109" s="355"/>
      <c r="W109" s="355"/>
      <c r="X109" s="355"/>
      <c r="Y109" s="359"/>
      <c r="Z109" s="359"/>
      <c r="AA109" s="359"/>
      <c r="AB109" s="359"/>
      <c r="AC109" s="359"/>
      <c r="AD109" s="359"/>
      <c r="AE109" s="359"/>
      <c r="AF109" s="359"/>
      <c r="AG109" s="359"/>
      <c r="AH109" s="359"/>
      <c r="AI109" s="359"/>
      <c r="AJ109" s="359"/>
      <c r="AK109" s="359"/>
      <c r="AL109" s="359"/>
      <c r="AM109" s="359"/>
      <c r="AN109" s="359"/>
      <c r="AO109" s="359"/>
      <c r="AP109" s="359"/>
      <c r="AQ109" s="359"/>
      <c r="AR109" s="359"/>
      <c r="AS109" s="359"/>
      <c r="AT109" s="359"/>
      <c r="AU109" s="359"/>
      <c r="AV109" s="359"/>
      <c r="AW109" s="359"/>
      <c r="AX109" s="359"/>
      <c r="AY109" s="359"/>
      <c r="AZ109" s="359"/>
      <c r="BA109" s="359"/>
      <c r="BB109" s="359"/>
      <c r="BC109" s="359"/>
      <c r="BD109" s="359"/>
      <c r="BF109" s="359"/>
      <c r="BG109" s="359"/>
      <c r="BH109" s="359"/>
      <c r="BI109" s="359"/>
      <c r="BJ109" s="359"/>
      <c r="BK109" s="359"/>
      <c r="BL109" s="359"/>
      <c r="BM109" s="359"/>
      <c r="BN109" s="359"/>
      <c r="BO109" s="359"/>
      <c r="BP109" s="359"/>
      <c r="BQ109" s="359"/>
      <c r="BR109" s="359"/>
      <c r="BS109" s="359"/>
      <c r="BT109" s="359"/>
      <c r="BU109" s="359"/>
      <c r="BV109" s="359"/>
      <c r="BW109" s="359"/>
      <c r="BX109" s="359"/>
      <c r="BY109" s="359"/>
      <c r="BZ109" s="359"/>
      <c r="CA109" s="359"/>
      <c r="CB109" s="359"/>
      <c r="CC109" s="292"/>
    </row>
    <row r="110" spans="9:81" s="222" customFormat="1" ht="13.8">
      <c r="I110" s="359"/>
      <c r="J110" s="359"/>
      <c r="K110" s="359"/>
      <c r="L110" s="355"/>
      <c r="M110" s="355"/>
      <c r="N110" s="355"/>
      <c r="O110" s="355"/>
      <c r="P110" s="355"/>
      <c r="Q110" s="355"/>
      <c r="R110" s="355"/>
      <c r="S110" s="355"/>
      <c r="T110" s="355"/>
      <c r="U110" s="355"/>
      <c r="V110" s="355"/>
      <c r="W110" s="355"/>
      <c r="X110" s="355"/>
      <c r="Y110" s="359"/>
      <c r="Z110" s="359"/>
      <c r="AA110" s="359"/>
      <c r="AB110" s="359"/>
      <c r="AC110" s="359"/>
      <c r="AD110" s="359"/>
      <c r="AE110" s="359"/>
      <c r="AF110" s="359"/>
      <c r="AG110" s="359"/>
      <c r="AH110" s="359"/>
      <c r="AI110" s="359"/>
      <c r="AJ110" s="359"/>
      <c r="AK110" s="359"/>
      <c r="AL110" s="359"/>
      <c r="AM110" s="359"/>
      <c r="AN110" s="359"/>
      <c r="AO110" s="359"/>
      <c r="AP110" s="359"/>
      <c r="AQ110" s="359"/>
      <c r="AR110" s="359"/>
      <c r="AS110" s="359"/>
      <c r="AT110" s="359"/>
      <c r="AU110" s="359"/>
      <c r="AV110" s="359"/>
      <c r="AW110" s="359"/>
      <c r="AX110" s="359"/>
      <c r="AY110" s="359"/>
      <c r="AZ110" s="359"/>
      <c r="BA110" s="359"/>
      <c r="BB110" s="359"/>
      <c r="BC110" s="359"/>
      <c r="BD110" s="359"/>
      <c r="BF110" s="359"/>
      <c r="BG110" s="359"/>
      <c r="BH110" s="359"/>
      <c r="BI110" s="359"/>
      <c r="BJ110" s="359"/>
      <c r="BK110" s="359"/>
      <c r="BL110" s="359"/>
      <c r="BM110" s="359"/>
      <c r="BN110" s="359"/>
      <c r="BO110" s="359"/>
      <c r="BP110" s="359"/>
      <c r="BQ110" s="359"/>
      <c r="BR110" s="359"/>
      <c r="BS110" s="359"/>
      <c r="BT110" s="359"/>
      <c r="BU110" s="359"/>
      <c r="BV110" s="359"/>
      <c r="BW110" s="359"/>
      <c r="BX110" s="359"/>
      <c r="BY110" s="359"/>
      <c r="BZ110" s="359"/>
      <c r="CA110" s="359"/>
      <c r="CB110" s="359"/>
      <c r="CC110" s="292"/>
    </row>
    <row r="111" spans="9:81" s="222" customFormat="1" ht="13.8">
      <c r="I111" s="359"/>
      <c r="J111" s="359"/>
      <c r="K111" s="359"/>
      <c r="L111" s="355"/>
      <c r="M111" s="355"/>
      <c r="N111" s="355"/>
      <c r="O111" s="355"/>
      <c r="P111" s="355"/>
      <c r="Q111" s="355"/>
      <c r="R111" s="355"/>
      <c r="S111" s="355"/>
      <c r="T111" s="355"/>
      <c r="U111" s="355"/>
      <c r="V111" s="355"/>
      <c r="W111" s="355"/>
      <c r="X111" s="355"/>
      <c r="Y111" s="359"/>
      <c r="Z111" s="359"/>
      <c r="AA111" s="359"/>
      <c r="AB111" s="359"/>
      <c r="AC111" s="359"/>
      <c r="AD111" s="359"/>
      <c r="AE111" s="359"/>
      <c r="AF111" s="359"/>
      <c r="AG111" s="359"/>
      <c r="AH111" s="359"/>
      <c r="AI111" s="359"/>
      <c r="AJ111" s="359"/>
      <c r="AK111" s="359"/>
      <c r="AL111" s="359"/>
      <c r="AM111" s="359"/>
      <c r="AN111" s="359"/>
      <c r="AO111" s="359"/>
      <c r="AP111" s="359"/>
      <c r="AQ111" s="359"/>
      <c r="AR111" s="359"/>
      <c r="AS111" s="359"/>
      <c r="AT111" s="359"/>
      <c r="AU111" s="359"/>
      <c r="AV111" s="359"/>
      <c r="AW111" s="359"/>
      <c r="AX111" s="359"/>
      <c r="AY111" s="359"/>
      <c r="AZ111" s="359"/>
      <c r="BA111" s="359"/>
      <c r="BB111" s="359"/>
      <c r="BC111" s="359"/>
      <c r="BD111" s="359"/>
      <c r="BF111" s="359"/>
      <c r="BG111" s="359"/>
      <c r="BH111" s="359"/>
      <c r="BI111" s="359"/>
      <c r="BJ111" s="359"/>
      <c r="BK111" s="359"/>
      <c r="BL111" s="359"/>
      <c r="BM111" s="359"/>
      <c r="BN111" s="359"/>
      <c r="BO111" s="359"/>
      <c r="BP111" s="359"/>
      <c r="BQ111" s="359"/>
      <c r="BR111" s="359"/>
      <c r="BS111" s="359"/>
      <c r="BT111" s="359"/>
      <c r="BU111" s="359"/>
      <c r="BV111" s="359"/>
      <c r="BW111" s="359"/>
      <c r="BX111" s="359"/>
      <c r="BY111" s="359"/>
      <c r="BZ111" s="359"/>
      <c r="CA111" s="359"/>
      <c r="CB111" s="359"/>
      <c r="CC111" s="292"/>
    </row>
    <row r="112" spans="9:81" s="222" customFormat="1" ht="28.05" customHeight="1">
      <c r="I112" s="358"/>
      <c r="J112" s="358"/>
      <c r="K112" s="358"/>
      <c r="L112" s="752" t="s">
        <v>407</v>
      </c>
      <c r="M112" s="752"/>
      <c r="N112" s="224"/>
      <c r="O112" s="225"/>
      <c r="P112" s="225"/>
      <c r="Q112" s="225"/>
      <c r="R112" s="226"/>
      <c r="S112" s="226"/>
      <c r="T112" s="227"/>
      <c r="U112" s="227"/>
      <c r="V112" s="228"/>
      <c r="W112" s="228"/>
      <c r="X112" s="228"/>
      <c r="Y112" s="358"/>
      <c r="Z112" s="358"/>
      <c r="AA112" s="358"/>
      <c r="AB112" s="358"/>
      <c r="AC112" s="358"/>
      <c r="AD112" s="358"/>
      <c r="AE112" s="358"/>
      <c r="AF112" s="358"/>
      <c r="AG112" s="358"/>
      <c r="AH112" s="358"/>
      <c r="AI112" s="358"/>
      <c r="AJ112" s="358"/>
      <c r="AK112" s="358"/>
      <c r="AL112" s="358"/>
      <c r="AM112" s="358"/>
      <c r="AN112" s="358"/>
      <c r="AO112" s="358"/>
      <c r="AP112" s="358"/>
      <c r="AQ112" s="358"/>
      <c r="AR112" s="358"/>
      <c r="AS112" s="358"/>
      <c r="AT112" s="358"/>
      <c r="AU112" s="358"/>
      <c r="AV112" s="358"/>
      <c r="AW112" s="358"/>
      <c r="AX112" s="358"/>
      <c r="AY112" s="358"/>
      <c r="AZ112" s="358"/>
      <c r="BA112" s="229"/>
      <c r="BB112" s="230"/>
      <c r="BC112" s="230"/>
      <c r="BD112" s="230"/>
      <c r="BF112" s="358"/>
      <c r="BG112" s="358"/>
      <c r="BH112" s="358"/>
      <c r="BI112" s="358"/>
      <c r="BJ112" s="358"/>
      <c r="BK112" s="358"/>
      <c r="BL112" s="358"/>
      <c r="BM112" s="358"/>
      <c r="BN112" s="358"/>
      <c r="BO112" s="358"/>
      <c r="BP112" s="358"/>
      <c r="BQ112" s="358"/>
      <c r="BR112" s="358"/>
      <c r="BS112" s="358"/>
      <c r="BT112" s="358"/>
      <c r="BU112" s="358"/>
      <c r="BV112" s="358"/>
      <c r="BW112" s="358"/>
      <c r="BX112" s="358"/>
      <c r="BY112" s="358"/>
      <c r="BZ112" s="358"/>
      <c r="CA112" s="358"/>
      <c r="CB112" s="358"/>
      <c r="CC112" s="231" t="s">
        <v>190</v>
      </c>
    </row>
    <row r="113" spans="9:80" s="222" customFormat="1" ht="13.8">
      <c r="I113" s="232"/>
      <c r="J113" s="232"/>
      <c r="K113" s="358"/>
      <c r="L113" s="753" t="s">
        <v>191</v>
      </c>
      <c r="M113" s="753"/>
      <c r="N113" s="353"/>
      <c r="O113" s="756" t="s">
        <v>192</v>
      </c>
      <c r="P113" s="756"/>
      <c r="Q113" s="820" t="s">
        <v>245</v>
      </c>
      <c r="R113" s="820"/>
      <c r="S113" s="820"/>
      <c r="T113" s="233"/>
      <c r="U113" s="359"/>
      <c r="V113" s="754"/>
      <c r="W113" s="754"/>
      <c r="X113" s="358"/>
      <c r="Y113" s="358"/>
      <c r="Z113" s="358"/>
      <c r="AA113" s="358"/>
      <c r="AB113" s="358"/>
      <c r="AC113" s="358"/>
      <c r="AD113" s="358"/>
      <c r="AE113" s="358"/>
      <c r="AF113" s="358"/>
      <c r="AG113" s="358"/>
      <c r="AH113" s="358"/>
      <c r="AI113" s="358"/>
      <c r="AJ113" s="358"/>
      <c r="AK113" s="358"/>
      <c r="AL113" s="358"/>
      <c r="AM113" s="358"/>
      <c r="AN113" s="358"/>
      <c r="AO113" s="358"/>
      <c r="AP113" s="358"/>
      <c r="AQ113" s="232"/>
      <c r="AR113" s="232"/>
      <c r="AS113" s="232"/>
      <c r="AT113" s="232"/>
      <c r="AU113" s="232"/>
      <c r="AV113" s="232"/>
      <c r="AW113" s="232"/>
      <c r="AX113" s="232"/>
      <c r="AY113" s="232"/>
      <c r="AZ113" s="234"/>
      <c r="BA113" s="356" t="s">
        <v>193</v>
      </c>
      <c r="BB113" s="755"/>
      <c r="BC113" s="755"/>
      <c r="BE113" s="232"/>
      <c r="BF113" s="232"/>
      <c r="BG113" s="232"/>
      <c r="BH113" s="756" t="s">
        <v>193</v>
      </c>
      <c r="BI113" s="756"/>
      <c r="BJ113" s="756"/>
      <c r="BK113" s="756"/>
      <c r="BL113" s="756"/>
      <c r="BM113" s="764">
        <f>BC97</f>
        <v>0</v>
      </c>
      <c r="BN113" s="764"/>
      <c r="BO113" s="764"/>
      <c r="BP113" s="764"/>
      <c r="BQ113" s="764"/>
      <c r="BR113" s="764"/>
      <c r="BS113" s="764"/>
      <c r="BT113" s="764"/>
      <c r="BU113" s="764"/>
      <c r="BV113" s="764"/>
      <c r="BW113" s="232"/>
      <c r="BX113" s="232"/>
      <c r="BY113" s="232"/>
      <c r="BZ113" s="232"/>
      <c r="CA113" s="232"/>
      <c r="CB113" s="232"/>
    </row>
    <row r="114" spans="9:80" s="222" customFormat="1" ht="13.8">
      <c r="I114" s="232"/>
      <c r="J114" s="232"/>
      <c r="K114" s="358"/>
      <c r="L114" s="358"/>
      <c r="M114" s="358"/>
      <c r="N114" s="358"/>
      <c r="O114" s="358"/>
      <c r="P114" s="359" t="s">
        <v>194</v>
      </c>
      <c r="Q114" s="357" t="s">
        <v>246</v>
      </c>
      <c r="R114" s="358"/>
      <c r="S114" s="358"/>
      <c r="T114" s="233"/>
      <c r="U114" s="237"/>
      <c r="V114" s="759"/>
      <c r="W114" s="754"/>
      <c r="X114" s="358"/>
      <c r="Y114" s="358"/>
      <c r="Z114" s="358"/>
      <c r="AA114" s="358"/>
      <c r="AB114" s="358"/>
      <c r="AC114" s="358"/>
      <c r="AD114" s="358"/>
      <c r="AE114" s="358"/>
      <c r="AF114" s="358"/>
      <c r="AG114" s="358"/>
      <c r="AH114" s="358"/>
      <c r="AI114" s="358"/>
      <c r="AJ114" s="358"/>
      <c r="AK114" s="358"/>
      <c r="AL114" s="358"/>
      <c r="AM114" s="358"/>
      <c r="AN114" s="358"/>
      <c r="AO114" s="358"/>
      <c r="AP114" s="358"/>
      <c r="AQ114" s="232"/>
      <c r="AR114" s="232"/>
      <c r="AS114" s="232"/>
      <c r="AT114" s="232"/>
      <c r="AU114" s="232"/>
      <c r="AV114" s="232"/>
      <c r="AW114" s="232"/>
      <c r="AX114" s="232"/>
      <c r="AY114" s="232"/>
      <c r="AZ114" s="234"/>
      <c r="BA114" s="237" t="s">
        <v>195</v>
      </c>
      <c r="BB114" s="760"/>
      <c r="BC114" s="761"/>
      <c r="BE114" s="232"/>
      <c r="BF114" s="232"/>
      <c r="BG114" s="232"/>
      <c r="BH114" s="762" t="s">
        <v>195</v>
      </c>
      <c r="BI114" s="762"/>
      <c r="BJ114" s="762"/>
      <c r="BK114" s="762"/>
      <c r="BL114" s="762"/>
      <c r="BM114" s="763">
        <f>BC112</f>
        <v>0</v>
      </c>
      <c r="BN114" s="763"/>
      <c r="BO114" s="763"/>
      <c r="BP114" s="763"/>
      <c r="BQ114" s="763"/>
      <c r="BR114" s="763"/>
      <c r="BS114" s="763"/>
      <c r="BT114" s="763"/>
      <c r="BU114" s="763"/>
      <c r="BV114" s="763"/>
      <c r="BW114" s="232"/>
      <c r="BX114" s="232"/>
      <c r="BY114" s="232"/>
      <c r="BZ114" s="232"/>
      <c r="CA114" s="232"/>
      <c r="CB114" s="232"/>
    </row>
    <row r="115" spans="9:80" s="222" customFormat="1" ht="13.8">
      <c r="I115" s="232"/>
      <c r="J115" s="232"/>
      <c r="K115" s="358"/>
      <c r="L115" s="358"/>
      <c r="M115" s="358"/>
      <c r="N115" s="358"/>
      <c r="O115" s="358"/>
      <c r="P115" s="359" t="s">
        <v>196</v>
      </c>
      <c r="Q115" s="757" t="s">
        <v>247</v>
      </c>
      <c r="R115" s="758"/>
      <c r="S115" s="358"/>
      <c r="T115" s="233"/>
      <c r="U115" s="237"/>
      <c r="V115" s="759"/>
      <c r="W115" s="754"/>
      <c r="X115" s="358"/>
      <c r="Y115" s="358"/>
      <c r="Z115" s="358"/>
      <c r="AA115" s="358"/>
      <c r="AB115" s="358"/>
      <c r="AC115" s="358"/>
      <c r="AD115" s="358"/>
      <c r="AE115" s="358"/>
      <c r="AF115" s="358"/>
      <c r="AG115" s="358"/>
      <c r="AH115" s="358"/>
      <c r="AI115" s="358"/>
      <c r="AJ115" s="358"/>
      <c r="AK115" s="358"/>
      <c r="AL115" s="358"/>
      <c r="AM115" s="358"/>
      <c r="AN115" s="358"/>
      <c r="AO115" s="358"/>
      <c r="AP115" s="358"/>
      <c r="AQ115" s="232"/>
      <c r="AR115" s="232"/>
      <c r="AS115" s="232"/>
      <c r="AT115" s="232"/>
      <c r="AU115" s="232"/>
      <c r="AV115" s="232"/>
      <c r="AW115" s="232"/>
      <c r="AX115" s="232"/>
      <c r="AY115" s="232"/>
      <c r="AZ115" s="234"/>
      <c r="BA115" s="237" t="s">
        <v>194</v>
      </c>
      <c r="BB115" s="760"/>
      <c r="BC115" s="761"/>
      <c r="BE115" s="232"/>
      <c r="BF115" s="232"/>
      <c r="BG115" s="232"/>
      <c r="BH115" s="762" t="s">
        <v>194</v>
      </c>
      <c r="BI115" s="762"/>
      <c r="BJ115" s="762"/>
      <c r="BK115" s="762"/>
      <c r="BL115" s="762"/>
      <c r="BM115" s="763">
        <f>BB113</f>
        <v>0</v>
      </c>
      <c r="BN115" s="763"/>
      <c r="BO115" s="763"/>
      <c r="BP115" s="763"/>
      <c r="BQ115" s="763"/>
      <c r="BR115" s="763"/>
      <c r="BS115" s="763"/>
      <c r="BT115" s="763"/>
      <c r="BU115" s="763"/>
      <c r="BV115" s="763"/>
      <c r="BW115" s="232"/>
      <c r="BX115" s="232"/>
      <c r="BY115" s="232"/>
      <c r="BZ115" s="232"/>
      <c r="CA115" s="232"/>
      <c r="CB115" s="232"/>
    </row>
  </sheetData>
  <mergeCells count="533">
    <mergeCell ref="K8:M8"/>
    <mergeCell ref="N8:P8"/>
    <mergeCell ref="K9:M9"/>
    <mergeCell ref="N9:P9"/>
    <mergeCell ref="M1:W1"/>
    <mergeCell ref="X1:X2"/>
    <mergeCell ref="M2:W2"/>
    <mergeCell ref="N5:O5"/>
    <mergeCell ref="P5:R5"/>
    <mergeCell ref="S5:U5"/>
    <mergeCell ref="N11:O11"/>
    <mergeCell ref="W11:X11"/>
    <mergeCell ref="N12:O12"/>
    <mergeCell ref="W12:X12"/>
    <mergeCell ref="U14:V14"/>
    <mergeCell ref="O15:R15"/>
    <mergeCell ref="N6:O6"/>
    <mergeCell ref="P6:R6"/>
    <mergeCell ref="S6:U6"/>
    <mergeCell ref="BN17:BQ17"/>
    <mergeCell ref="BR17:BU17"/>
    <mergeCell ref="BV17:CA17"/>
    <mergeCell ref="AE15:AF15"/>
    <mergeCell ref="AQ15:AR15"/>
    <mergeCell ref="BF15:BH15"/>
    <mergeCell ref="L16:M16"/>
    <mergeCell ref="S16:U16"/>
    <mergeCell ref="V16:X16"/>
    <mergeCell ref="AY16:BA16"/>
    <mergeCell ref="BB16:BD16"/>
    <mergeCell ref="BF16:BH16"/>
    <mergeCell ref="L18:N18"/>
    <mergeCell ref="O18:P18"/>
    <mergeCell ref="AC18:AH18"/>
    <mergeCell ref="AO18:AT18"/>
    <mergeCell ref="BF18:BG18"/>
    <mergeCell ref="BI18:BJ18"/>
    <mergeCell ref="BF17:BG17"/>
    <mergeCell ref="BI17:BJ17"/>
    <mergeCell ref="BK17:BM17"/>
    <mergeCell ref="BF20:BG20"/>
    <mergeCell ref="BI20:BJ20"/>
    <mergeCell ref="BK20:BM20"/>
    <mergeCell ref="BN20:BQ20"/>
    <mergeCell ref="BR20:BU20"/>
    <mergeCell ref="BV20:CA20"/>
    <mergeCell ref="BK18:BM18"/>
    <mergeCell ref="BN18:BQ18"/>
    <mergeCell ref="BR18:BU18"/>
    <mergeCell ref="BV18:CA18"/>
    <mergeCell ref="BF19:BG19"/>
    <mergeCell ref="BI19:BJ19"/>
    <mergeCell ref="BK19:BM19"/>
    <mergeCell ref="BN19:BQ19"/>
    <mergeCell ref="BR19:BU19"/>
    <mergeCell ref="BV19:CA19"/>
    <mergeCell ref="BF22:BG22"/>
    <mergeCell ref="BI22:BJ22"/>
    <mergeCell ref="BK22:BM22"/>
    <mergeCell ref="BN22:BQ22"/>
    <mergeCell ref="BR22:BU22"/>
    <mergeCell ref="BV22:CA22"/>
    <mergeCell ref="BF21:BG21"/>
    <mergeCell ref="BI21:BJ21"/>
    <mergeCell ref="BK21:BM21"/>
    <mergeCell ref="BN21:BQ21"/>
    <mergeCell ref="BR21:BU21"/>
    <mergeCell ref="BV21:CA21"/>
    <mergeCell ref="BF24:BG24"/>
    <mergeCell ref="BI24:BJ24"/>
    <mergeCell ref="BK24:BM24"/>
    <mergeCell ref="BN24:BQ24"/>
    <mergeCell ref="BR24:BU24"/>
    <mergeCell ref="BV24:CA24"/>
    <mergeCell ref="BF23:BG23"/>
    <mergeCell ref="BI23:BJ23"/>
    <mergeCell ref="BK23:BM23"/>
    <mergeCell ref="BN23:BQ23"/>
    <mergeCell ref="BR23:BU23"/>
    <mergeCell ref="BV23:CA23"/>
    <mergeCell ref="BF26:BG26"/>
    <mergeCell ref="BI26:BJ26"/>
    <mergeCell ref="BK26:BM26"/>
    <mergeCell ref="BN26:BQ26"/>
    <mergeCell ref="BR26:BU26"/>
    <mergeCell ref="BV26:CA26"/>
    <mergeCell ref="BF25:BG25"/>
    <mergeCell ref="BI25:BJ25"/>
    <mergeCell ref="BK25:BM25"/>
    <mergeCell ref="BN25:BQ25"/>
    <mergeCell ref="BR25:BU25"/>
    <mergeCell ref="BV25:CA25"/>
    <mergeCell ref="BF28:BG28"/>
    <mergeCell ref="BI28:BJ28"/>
    <mergeCell ref="BK28:BM28"/>
    <mergeCell ref="BN28:BQ28"/>
    <mergeCell ref="BR28:BU28"/>
    <mergeCell ref="BV28:CA28"/>
    <mergeCell ref="BF27:BG27"/>
    <mergeCell ref="BI27:BJ27"/>
    <mergeCell ref="BK27:BM27"/>
    <mergeCell ref="BN27:BQ27"/>
    <mergeCell ref="BR27:BU27"/>
    <mergeCell ref="BV27:CA27"/>
    <mergeCell ref="BF30:BG30"/>
    <mergeCell ref="BI30:BJ30"/>
    <mergeCell ref="BK30:BM30"/>
    <mergeCell ref="BN30:BQ30"/>
    <mergeCell ref="BR30:BU30"/>
    <mergeCell ref="BV30:CA30"/>
    <mergeCell ref="BF29:BG29"/>
    <mergeCell ref="BI29:BJ29"/>
    <mergeCell ref="BK29:BM29"/>
    <mergeCell ref="BN29:BQ29"/>
    <mergeCell ref="BR29:BU29"/>
    <mergeCell ref="BV29:CA29"/>
    <mergeCell ref="BF32:BG32"/>
    <mergeCell ref="BI32:BJ32"/>
    <mergeCell ref="BK32:BM32"/>
    <mergeCell ref="BN32:BQ32"/>
    <mergeCell ref="BR32:BU32"/>
    <mergeCell ref="BV32:CA32"/>
    <mergeCell ref="BF31:BG31"/>
    <mergeCell ref="BI31:BJ31"/>
    <mergeCell ref="BK31:BM31"/>
    <mergeCell ref="BN31:BQ31"/>
    <mergeCell ref="BR31:BU31"/>
    <mergeCell ref="BV31:CA31"/>
    <mergeCell ref="BF34:BG34"/>
    <mergeCell ref="BI34:BJ34"/>
    <mergeCell ref="BK34:BM34"/>
    <mergeCell ref="BN34:BQ34"/>
    <mergeCell ref="BR34:BU34"/>
    <mergeCell ref="BV34:CA34"/>
    <mergeCell ref="BF33:BG33"/>
    <mergeCell ref="BI33:BJ33"/>
    <mergeCell ref="BK33:BM33"/>
    <mergeCell ref="BN33:BQ33"/>
    <mergeCell ref="BR33:BU33"/>
    <mergeCell ref="BV33:CA33"/>
    <mergeCell ref="BF36:BG36"/>
    <mergeCell ref="BI36:BJ36"/>
    <mergeCell ref="BK36:BM36"/>
    <mergeCell ref="BN36:BQ36"/>
    <mergeCell ref="BR36:BU36"/>
    <mergeCell ref="BV36:CA36"/>
    <mergeCell ref="BF35:BG35"/>
    <mergeCell ref="BI35:BJ35"/>
    <mergeCell ref="BK35:BM35"/>
    <mergeCell ref="BN35:BQ35"/>
    <mergeCell ref="BR35:BU35"/>
    <mergeCell ref="BV35:CA35"/>
    <mergeCell ref="BF38:BG38"/>
    <mergeCell ref="BI38:BJ38"/>
    <mergeCell ref="BK38:BM38"/>
    <mergeCell ref="BN38:BQ38"/>
    <mergeCell ref="BR38:BU38"/>
    <mergeCell ref="BV38:CA38"/>
    <mergeCell ref="BF37:BG37"/>
    <mergeCell ref="BI37:BJ37"/>
    <mergeCell ref="BK37:BM37"/>
    <mergeCell ref="BN37:BQ37"/>
    <mergeCell ref="BR37:BU37"/>
    <mergeCell ref="BV37:CA37"/>
    <mergeCell ref="BF40:BG40"/>
    <mergeCell ref="BI40:BJ40"/>
    <mergeCell ref="BK40:BM40"/>
    <mergeCell ref="BN40:BQ40"/>
    <mergeCell ref="BR40:BU40"/>
    <mergeCell ref="BV40:CA40"/>
    <mergeCell ref="BF39:BG39"/>
    <mergeCell ref="BI39:BJ39"/>
    <mergeCell ref="BK39:BM39"/>
    <mergeCell ref="BN39:BQ39"/>
    <mergeCell ref="BR39:BU39"/>
    <mergeCell ref="BV39:CA39"/>
    <mergeCell ref="BF42:BG42"/>
    <mergeCell ref="BI42:BJ42"/>
    <mergeCell ref="BK42:BM42"/>
    <mergeCell ref="BN42:BQ42"/>
    <mergeCell ref="BR42:BU42"/>
    <mergeCell ref="BV42:CA42"/>
    <mergeCell ref="BF41:BG41"/>
    <mergeCell ref="BI41:BJ41"/>
    <mergeCell ref="BK41:BM41"/>
    <mergeCell ref="BN41:BQ41"/>
    <mergeCell ref="BR41:BU41"/>
    <mergeCell ref="BV41:CA41"/>
    <mergeCell ref="BF44:BG44"/>
    <mergeCell ref="BI44:BJ44"/>
    <mergeCell ref="BK44:BM44"/>
    <mergeCell ref="BN44:BQ44"/>
    <mergeCell ref="BR44:BU44"/>
    <mergeCell ref="BV44:CA44"/>
    <mergeCell ref="BF43:BG43"/>
    <mergeCell ref="BI43:BJ43"/>
    <mergeCell ref="BK43:BM43"/>
    <mergeCell ref="BN43:BQ43"/>
    <mergeCell ref="BR43:BU43"/>
    <mergeCell ref="BV43:CA43"/>
    <mergeCell ref="BF46:BG46"/>
    <mergeCell ref="BI46:BJ46"/>
    <mergeCell ref="BK46:BM46"/>
    <mergeCell ref="BN46:BQ46"/>
    <mergeCell ref="BR46:BU46"/>
    <mergeCell ref="BV46:CA46"/>
    <mergeCell ref="BF45:BG45"/>
    <mergeCell ref="BI45:BJ45"/>
    <mergeCell ref="BK45:BM45"/>
    <mergeCell ref="BN45:BQ45"/>
    <mergeCell ref="BR45:BU45"/>
    <mergeCell ref="BV45:CA45"/>
    <mergeCell ref="BF48:BG48"/>
    <mergeCell ref="BI48:BJ48"/>
    <mergeCell ref="BK48:BM48"/>
    <mergeCell ref="BN48:BQ48"/>
    <mergeCell ref="BR48:BU48"/>
    <mergeCell ref="BV48:CA48"/>
    <mergeCell ref="BF47:BG47"/>
    <mergeCell ref="BI47:BJ47"/>
    <mergeCell ref="BK47:BM47"/>
    <mergeCell ref="BN47:BQ47"/>
    <mergeCell ref="BR47:BU47"/>
    <mergeCell ref="BV47:CA47"/>
    <mergeCell ref="BF50:BG50"/>
    <mergeCell ref="BI50:BJ50"/>
    <mergeCell ref="BK50:BM50"/>
    <mergeCell ref="BN50:BQ50"/>
    <mergeCell ref="BR50:BU50"/>
    <mergeCell ref="BV50:CA50"/>
    <mergeCell ref="BF49:BG49"/>
    <mergeCell ref="BI49:BJ49"/>
    <mergeCell ref="BK49:BM49"/>
    <mergeCell ref="BN49:BQ49"/>
    <mergeCell ref="BR49:BU49"/>
    <mergeCell ref="BV49:CA49"/>
    <mergeCell ref="BF52:BG52"/>
    <mergeCell ref="BI52:BJ52"/>
    <mergeCell ref="BK52:BM52"/>
    <mergeCell ref="BN52:BQ52"/>
    <mergeCell ref="BR52:BU52"/>
    <mergeCell ref="BV52:CA52"/>
    <mergeCell ref="BF51:BG51"/>
    <mergeCell ref="BI51:BJ51"/>
    <mergeCell ref="BK51:BM51"/>
    <mergeCell ref="BN51:BQ51"/>
    <mergeCell ref="BR51:BU51"/>
    <mergeCell ref="BV51:CA51"/>
    <mergeCell ref="BF54:BG54"/>
    <mergeCell ref="BI54:BJ54"/>
    <mergeCell ref="BK54:BM54"/>
    <mergeCell ref="BN54:BQ54"/>
    <mergeCell ref="BR54:BU54"/>
    <mergeCell ref="BV54:CA54"/>
    <mergeCell ref="BF53:BG53"/>
    <mergeCell ref="BI53:BJ53"/>
    <mergeCell ref="BK53:BM53"/>
    <mergeCell ref="BN53:BQ53"/>
    <mergeCell ref="BR53:BU53"/>
    <mergeCell ref="BV53:CA53"/>
    <mergeCell ref="BF56:BG56"/>
    <mergeCell ref="BI56:BJ56"/>
    <mergeCell ref="BK56:BM56"/>
    <mergeCell ref="BN56:BQ56"/>
    <mergeCell ref="BR56:BU56"/>
    <mergeCell ref="BV56:CA56"/>
    <mergeCell ref="BF55:BG55"/>
    <mergeCell ref="BI55:BJ55"/>
    <mergeCell ref="BK55:BM55"/>
    <mergeCell ref="BN55:BQ55"/>
    <mergeCell ref="BR55:BU55"/>
    <mergeCell ref="BV55:CA55"/>
    <mergeCell ref="BF58:BG58"/>
    <mergeCell ref="BI58:BJ58"/>
    <mergeCell ref="BK58:BM58"/>
    <mergeCell ref="BN58:BQ58"/>
    <mergeCell ref="BR58:BU58"/>
    <mergeCell ref="BV58:CA58"/>
    <mergeCell ref="BF57:BG57"/>
    <mergeCell ref="BI57:BJ57"/>
    <mergeCell ref="BK57:BM57"/>
    <mergeCell ref="BN57:BQ57"/>
    <mergeCell ref="BR57:BU57"/>
    <mergeCell ref="BV57:CA57"/>
    <mergeCell ref="BF60:BG60"/>
    <mergeCell ref="BI60:BJ60"/>
    <mergeCell ref="BK60:BM60"/>
    <mergeCell ref="BN60:BQ60"/>
    <mergeCell ref="BR60:BU60"/>
    <mergeCell ref="BV60:CA60"/>
    <mergeCell ref="BF59:BG59"/>
    <mergeCell ref="BI59:BJ59"/>
    <mergeCell ref="BK59:BM59"/>
    <mergeCell ref="BN59:BQ59"/>
    <mergeCell ref="BR59:BU59"/>
    <mergeCell ref="BV59:CA59"/>
    <mergeCell ref="BF62:BG62"/>
    <mergeCell ref="BI62:BJ62"/>
    <mergeCell ref="BK62:BM62"/>
    <mergeCell ref="BN62:BQ62"/>
    <mergeCell ref="BR62:BU62"/>
    <mergeCell ref="BV62:CA62"/>
    <mergeCell ref="BF61:BG61"/>
    <mergeCell ref="BI61:BJ61"/>
    <mergeCell ref="BK61:BM61"/>
    <mergeCell ref="BN61:BQ61"/>
    <mergeCell ref="BR61:BU61"/>
    <mergeCell ref="BV61:CA61"/>
    <mergeCell ref="BF64:BG64"/>
    <mergeCell ref="BI64:BJ64"/>
    <mergeCell ref="BK64:BM64"/>
    <mergeCell ref="BN64:BQ64"/>
    <mergeCell ref="BR64:BU64"/>
    <mergeCell ref="BV64:CA64"/>
    <mergeCell ref="BF63:BG63"/>
    <mergeCell ref="BI63:BJ63"/>
    <mergeCell ref="BK63:BM63"/>
    <mergeCell ref="BN63:BQ63"/>
    <mergeCell ref="BR63:BU63"/>
    <mergeCell ref="BV63:CA63"/>
    <mergeCell ref="BF66:BG66"/>
    <mergeCell ref="BI66:BJ66"/>
    <mergeCell ref="BK66:BM66"/>
    <mergeCell ref="BN66:BQ66"/>
    <mergeCell ref="BR66:BU66"/>
    <mergeCell ref="BV66:CA66"/>
    <mergeCell ref="BF65:BG65"/>
    <mergeCell ref="BI65:BJ65"/>
    <mergeCell ref="BK65:BM65"/>
    <mergeCell ref="BN65:BQ65"/>
    <mergeCell ref="BR65:BU65"/>
    <mergeCell ref="BV65:CA65"/>
    <mergeCell ref="BF68:BG68"/>
    <mergeCell ref="BI68:BJ68"/>
    <mergeCell ref="BK68:BM68"/>
    <mergeCell ref="BN68:BQ68"/>
    <mergeCell ref="BR68:BU68"/>
    <mergeCell ref="BV68:CA68"/>
    <mergeCell ref="BF67:BG67"/>
    <mergeCell ref="BI67:BJ67"/>
    <mergeCell ref="BK67:BM67"/>
    <mergeCell ref="BN67:BQ67"/>
    <mergeCell ref="BR67:BU67"/>
    <mergeCell ref="BV67:CA67"/>
    <mergeCell ref="BF70:BG70"/>
    <mergeCell ref="BI70:BJ70"/>
    <mergeCell ref="BK70:BM70"/>
    <mergeCell ref="BN70:BQ70"/>
    <mergeCell ref="BR70:BU70"/>
    <mergeCell ref="BV70:CA70"/>
    <mergeCell ref="BF69:BG69"/>
    <mergeCell ref="BI69:BJ69"/>
    <mergeCell ref="BK69:BM69"/>
    <mergeCell ref="BN69:BQ69"/>
    <mergeCell ref="BR69:BU69"/>
    <mergeCell ref="BV69:CA69"/>
    <mergeCell ref="BF72:BG72"/>
    <mergeCell ref="BI72:BJ72"/>
    <mergeCell ref="BK72:BM72"/>
    <mergeCell ref="BN72:BQ72"/>
    <mergeCell ref="BR72:BU72"/>
    <mergeCell ref="BV72:CA72"/>
    <mergeCell ref="BF71:BG71"/>
    <mergeCell ref="BI71:BJ71"/>
    <mergeCell ref="BK71:BM71"/>
    <mergeCell ref="BN71:BQ71"/>
    <mergeCell ref="BR71:BU71"/>
    <mergeCell ref="BV71:CA71"/>
    <mergeCell ref="BF74:BG74"/>
    <mergeCell ref="BI74:BJ74"/>
    <mergeCell ref="BK74:BM74"/>
    <mergeCell ref="BN74:BQ74"/>
    <mergeCell ref="BR74:BU74"/>
    <mergeCell ref="BV74:CA74"/>
    <mergeCell ref="BF73:BG73"/>
    <mergeCell ref="BI73:BJ73"/>
    <mergeCell ref="BK73:BM73"/>
    <mergeCell ref="BN73:BQ73"/>
    <mergeCell ref="BR73:BU73"/>
    <mergeCell ref="BV73:CA73"/>
    <mergeCell ref="BF76:BG76"/>
    <mergeCell ref="BI76:BJ76"/>
    <mergeCell ref="BK76:BM76"/>
    <mergeCell ref="BN76:BQ76"/>
    <mergeCell ref="BR76:BU76"/>
    <mergeCell ref="BV76:CA76"/>
    <mergeCell ref="BF75:BG75"/>
    <mergeCell ref="BI75:BJ75"/>
    <mergeCell ref="BK75:BM75"/>
    <mergeCell ref="BN75:BQ75"/>
    <mergeCell ref="BR75:BU75"/>
    <mergeCell ref="BV75:CA75"/>
    <mergeCell ref="BF78:BG78"/>
    <mergeCell ref="BI78:BJ78"/>
    <mergeCell ref="BK78:BM78"/>
    <mergeCell ref="BN78:BQ78"/>
    <mergeCell ref="BR78:BU78"/>
    <mergeCell ref="BV78:CA78"/>
    <mergeCell ref="BF77:BG77"/>
    <mergeCell ref="BI77:BJ77"/>
    <mergeCell ref="BK77:BM77"/>
    <mergeCell ref="BN77:BQ77"/>
    <mergeCell ref="BR77:BU77"/>
    <mergeCell ref="BV77:CA77"/>
    <mergeCell ref="BF80:BG80"/>
    <mergeCell ref="BI80:BJ80"/>
    <mergeCell ref="BK80:BM80"/>
    <mergeCell ref="BN80:BQ80"/>
    <mergeCell ref="BR80:BU80"/>
    <mergeCell ref="BV80:CA80"/>
    <mergeCell ref="BF79:BG79"/>
    <mergeCell ref="BI79:BJ79"/>
    <mergeCell ref="BK79:BM79"/>
    <mergeCell ref="BN79:BQ79"/>
    <mergeCell ref="BR79:BU79"/>
    <mergeCell ref="BV79:CA79"/>
    <mergeCell ref="BF82:BG82"/>
    <mergeCell ref="BI82:BJ82"/>
    <mergeCell ref="BK82:BM82"/>
    <mergeCell ref="BN82:BQ82"/>
    <mergeCell ref="BR82:BU82"/>
    <mergeCell ref="BV82:CA82"/>
    <mergeCell ref="BF81:BG81"/>
    <mergeCell ref="BI81:BJ81"/>
    <mergeCell ref="BK81:BM81"/>
    <mergeCell ref="BN81:BQ81"/>
    <mergeCell ref="BR81:BU81"/>
    <mergeCell ref="BV81:CA81"/>
    <mergeCell ref="BF84:BG84"/>
    <mergeCell ref="BI84:BJ84"/>
    <mergeCell ref="BK84:BM84"/>
    <mergeCell ref="BN84:BQ84"/>
    <mergeCell ref="BR84:BU84"/>
    <mergeCell ref="BV84:CA84"/>
    <mergeCell ref="BF83:BG83"/>
    <mergeCell ref="BI83:BJ83"/>
    <mergeCell ref="BK83:BM83"/>
    <mergeCell ref="BN83:BQ83"/>
    <mergeCell ref="BR83:BU83"/>
    <mergeCell ref="BV83:CA83"/>
    <mergeCell ref="BF86:BG86"/>
    <mergeCell ref="BI86:BJ86"/>
    <mergeCell ref="BK86:BM86"/>
    <mergeCell ref="BN86:BQ86"/>
    <mergeCell ref="BR86:BU86"/>
    <mergeCell ref="BV86:CA86"/>
    <mergeCell ref="BF85:BG85"/>
    <mergeCell ref="BI85:BJ85"/>
    <mergeCell ref="BK85:BM85"/>
    <mergeCell ref="BN85:BQ85"/>
    <mergeCell ref="BR85:BU85"/>
    <mergeCell ref="BV85:CA85"/>
    <mergeCell ref="BF88:BG88"/>
    <mergeCell ref="BI88:BJ88"/>
    <mergeCell ref="BK88:BM88"/>
    <mergeCell ref="BN88:BQ88"/>
    <mergeCell ref="BR88:BU88"/>
    <mergeCell ref="BV88:CA88"/>
    <mergeCell ref="BF87:BG87"/>
    <mergeCell ref="BI87:BJ87"/>
    <mergeCell ref="BK87:BM87"/>
    <mergeCell ref="BN87:BQ87"/>
    <mergeCell ref="BR87:BU87"/>
    <mergeCell ref="BV87:CA87"/>
    <mergeCell ref="BF90:BG90"/>
    <mergeCell ref="BI90:BJ90"/>
    <mergeCell ref="BK90:BM90"/>
    <mergeCell ref="BN90:BQ90"/>
    <mergeCell ref="BR90:BU90"/>
    <mergeCell ref="BV90:CA90"/>
    <mergeCell ref="BF89:BG89"/>
    <mergeCell ref="BI89:BJ89"/>
    <mergeCell ref="BK89:BM89"/>
    <mergeCell ref="BN89:BQ89"/>
    <mergeCell ref="BR89:BU89"/>
    <mergeCell ref="BV89:CA89"/>
    <mergeCell ref="BF92:BG92"/>
    <mergeCell ref="BI92:BJ92"/>
    <mergeCell ref="BK92:BM92"/>
    <mergeCell ref="BN92:BQ92"/>
    <mergeCell ref="BR92:BU92"/>
    <mergeCell ref="BV92:CA92"/>
    <mergeCell ref="BF91:BG91"/>
    <mergeCell ref="BI91:BJ91"/>
    <mergeCell ref="BK91:BM91"/>
    <mergeCell ref="BN91:BQ91"/>
    <mergeCell ref="BR91:BU91"/>
    <mergeCell ref="BV91:CA91"/>
    <mergeCell ref="BF94:BG94"/>
    <mergeCell ref="BI94:BJ94"/>
    <mergeCell ref="BK94:BM94"/>
    <mergeCell ref="BN94:BQ94"/>
    <mergeCell ref="BR94:BU94"/>
    <mergeCell ref="BV94:CA94"/>
    <mergeCell ref="BF93:BG93"/>
    <mergeCell ref="BI93:BJ93"/>
    <mergeCell ref="BK93:BM93"/>
    <mergeCell ref="BN93:BQ93"/>
    <mergeCell ref="BR93:BU93"/>
    <mergeCell ref="BV93:CA93"/>
    <mergeCell ref="BF96:BG96"/>
    <mergeCell ref="BI96:BJ96"/>
    <mergeCell ref="BK96:BM96"/>
    <mergeCell ref="BN96:BQ96"/>
    <mergeCell ref="BR96:BU96"/>
    <mergeCell ref="BV96:CA96"/>
    <mergeCell ref="BF95:BG95"/>
    <mergeCell ref="BI95:BJ95"/>
    <mergeCell ref="BK95:BM95"/>
    <mergeCell ref="BN95:BQ95"/>
    <mergeCell ref="BR95:BU95"/>
    <mergeCell ref="BV95:CA95"/>
    <mergeCell ref="M98:X98"/>
    <mergeCell ref="BF98:CA98"/>
    <mergeCell ref="M100:R100"/>
    <mergeCell ref="L101:X101"/>
    <mergeCell ref="L112:M112"/>
    <mergeCell ref="L113:M113"/>
    <mergeCell ref="O113:P113"/>
    <mergeCell ref="Q113:S113"/>
    <mergeCell ref="V113:W113"/>
    <mergeCell ref="BB113:BC113"/>
    <mergeCell ref="Q115:R115"/>
    <mergeCell ref="V115:W115"/>
    <mergeCell ref="BB115:BC115"/>
    <mergeCell ref="BH115:BL115"/>
    <mergeCell ref="BM115:BV115"/>
    <mergeCell ref="BH113:BL113"/>
    <mergeCell ref="BM113:BV113"/>
    <mergeCell ref="V114:W114"/>
    <mergeCell ref="BB114:BC114"/>
    <mergeCell ref="BH114:BL114"/>
    <mergeCell ref="BM114:BV114"/>
  </mergeCells>
  <conditionalFormatting sqref="K19:K95">
    <cfRule type="expression" dxfId="30" priority="30" stopIfTrue="1">
      <formula>$K19="Meta"</formula>
    </cfRule>
    <cfRule type="expression" dxfId="29" priority="31" stopIfTrue="1">
      <formula>$A19&lt;&gt;"S"</formula>
    </cfRule>
  </conditionalFormatting>
  <conditionalFormatting sqref="M2">
    <cfRule type="expression" dxfId="28" priority="29" stopIfTrue="1">
      <formula>Import.RegimeExecução=""</formula>
    </cfRule>
  </conditionalFormatting>
  <conditionalFormatting sqref="K19:K95">
    <cfRule type="expression" dxfId="27" priority="27" stopIfTrue="1">
      <formula>$K19="Meta"</formula>
    </cfRule>
    <cfRule type="expression" dxfId="26" priority="28" stopIfTrue="1">
      <formula>$A19&lt;&gt;"S"</formula>
    </cfRule>
  </conditionalFormatting>
  <conditionalFormatting sqref="Z19:AW95">
    <cfRule type="expression" dxfId="25" priority="25" stopIfTrue="1">
      <formula>$K19=#REF!</formula>
    </cfRule>
    <cfRule type="expression" dxfId="24" priority="26" stopIfTrue="1">
      <formula>$A19&lt;&gt;"S"</formula>
    </cfRule>
  </conditionalFormatting>
  <conditionalFormatting sqref="BF19:CA95">
    <cfRule type="expression" dxfId="23" priority="23" stopIfTrue="1">
      <formula>$K19=#REF!</formula>
    </cfRule>
    <cfRule type="expression" dxfId="22" priority="24" stopIfTrue="1">
      <formula>$A19&lt;&gt;"S"</formula>
    </cfRule>
  </conditionalFormatting>
  <conditionalFormatting sqref="AY19:BD95 L19:P95 X20:X95 R19:W95">
    <cfRule type="expression" dxfId="21" priority="20" stopIfTrue="1">
      <formula>OR($U19&lt;0,AND($U19&gt;100,RegimeExecucao="Global"),AND($U19&gt;ROUND($O19,2),RegimeExecucao="Unitário"))</formula>
    </cfRule>
    <cfRule type="expression" dxfId="20" priority="21" stopIfTrue="1">
      <formula>$K19=#REF!</formula>
    </cfRule>
    <cfRule type="expression" dxfId="19" priority="22" stopIfTrue="1">
      <formula>$A19&lt;&gt;"S"</formula>
    </cfRule>
  </conditionalFormatting>
  <conditionalFormatting sqref="Q19:Q95">
    <cfRule type="expression" dxfId="18" priority="17" stopIfTrue="1">
      <formula>AND($A19&lt;&gt;"S",RegimeExecucao="Global",$Q19&lt;&gt;$R19,$Q19&lt;&gt;0)</formula>
    </cfRule>
    <cfRule type="expression" dxfId="17" priority="18" stopIfTrue="1">
      <formula>$K19=#REF!</formula>
    </cfRule>
    <cfRule type="expression" dxfId="16" priority="19" stopIfTrue="1">
      <formula>$A19&lt;&gt;"S"</formula>
    </cfRule>
  </conditionalFormatting>
  <conditionalFormatting sqref="Z19:AW95">
    <cfRule type="expression" dxfId="15" priority="15" stopIfTrue="1">
      <formula>$K19=#REF!</formula>
    </cfRule>
    <cfRule type="expression" dxfId="14" priority="16" stopIfTrue="1">
      <formula>$A19&lt;&gt;"S"</formula>
    </cfRule>
  </conditionalFormatting>
  <conditionalFormatting sqref="BF19:CA95">
    <cfRule type="expression" dxfId="13" priority="13" stopIfTrue="1">
      <formula>$K19=#REF!</formula>
    </cfRule>
    <cfRule type="expression" dxfId="12" priority="14" stopIfTrue="1">
      <formula>$A19&lt;&gt;"S"</formula>
    </cfRule>
  </conditionalFormatting>
  <conditionalFormatting sqref="AY19:BD95 L19:P95 X20:X95 R19:W95">
    <cfRule type="expression" dxfId="11" priority="10" stopIfTrue="1">
      <formula>OR($U19&lt;0,AND($U19&gt;100,RegimeExecucao="Global"),AND($U19&gt;ROUND($O19,2),RegimeExecucao="Unitário"))</formula>
    </cfRule>
    <cfRule type="expression" dxfId="10" priority="11" stopIfTrue="1">
      <formula>$K19=#REF!</formula>
    </cfRule>
    <cfRule type="expression" dxfId="9" priority="12" stopIfTrue="1">
      <formula>$A19&lt;&gt;"S"</formula>
    </cfRule>
  </conditionalFormatting>
  <conditionalFormatting sqref="Q19:Q95">
    <cfRule type="expression" dxfId="8" priority="7" stopIfTrue="1">
      <formula>AND($A19&lt;&gt;"S",RegimeExecucao="Global",$Q19&lt;&gt;$R19,$Q19&lt;&gt;0)</formula>
    </cfRule>
    <cfRule type="expression" dxfId="7" priority="8" stopIfTrue="1">
      <formula>$K19=#REF!</formula>
    </cfRule>
    <cfRule type="expression" dxfId="6" priority="9" stopIfTrue="1">
      <formula>$A19&lt;&gt;"S"</formula>
    </cfRule>
  </conditionalFormatting>
  <conditionalFormatting sqref="O112:P115 Q112:S112 Q113:R115">
    <cfRule type="expression" dxfId="5" priority="6" stopIfTrue="1">
      <formula>OR($R$116="",CAIXA.modo=TRUE())</formula>
    </cfRule>
  </conditionalFormatting>
  <conditionalFormatting sqref="O112:P115 Q112:S112 Q113:R115">
    <cfRule type="expression" dxfId="4" priority="5" stopIfTrue="1">
      <formula>OR($R$116="",CAIXA.modo=TRUE())</formula>
    </cfRule>
  </conditionalFormatting>
  <conditionalFormatting sqref="R114:R115 Q113:Q115 O112:S112 O114:P115">
    <cfRule type="expression" dxfId="3" priority="4" stopIfTrue="1">
      <formula>OR($R$100="",CAIXA.modo=TRUE())</formula>
    </cfRule>
  </conditionalFormatting>
  <conditionalFormatting sqref="R114:R115 Q113:Q115 O112:S112 O114:P115">
    <cfRule type="expression" dxfId="2" priority="3" stopIfTrue="1">
      <formula>OR($R$100="",CAIXA.modo=TRUE())</formula>
    </cfRule>
  </conditionalFormatting>
  <conditionalFormatting sqref="O112:P115 Q112:S112 Q113:R115">
    <cfRule type="expression" dxfId="1" priority="2" stopIfTrue="1">
      <formula>OR($Q$113="",CAIXA.modo=TRUE())</formula>
    </cfRule>
  </conditionalFormatting>
  <conditionalFormatting sqref="O112:P115 Q112:S112 Q113:R115">
    <cfRule type="expression" dxfId="0" priority="1" stopIfTrue="1">
      <formula>OR($Q$113="",CAIXA.modo=TRUE())</formula>
    </cfRule>
  </conditionalFormatting>
  <dataValidations count="7">
    <dataValidation type="decimal" errorStyle="warning" operator="greaterThanOrEqual" allowBlank="1" showInputMessage="1" showErrorMessage="1" errorTitle="Erro" error="Os valores devem ser maiores que 0." sqref="O19:Q95">
      <formula1>0</formula1>
    </dataValidation>
    <dataValidation allowBlank="1" showInputMessage="1" showErrorMessage="1" prompt="Digite a data das medições nas colunas amarelas à direita &gt;&gt;&gt;&gt;" sqref="U14:V14"/>
    <dataValidation type="list" showInputMessage="1" showErrorMessage="1" errorTitle="Erro de Entrada" error="Selecione somente os itens da lista." promptTitle="Nível:" prompt="Selecione na lista o nível de itemização da Planilha." sqref="K19:K95">
      <formula1>#REF!</formula1>
    </dataValidation>
    <dataValidation type="whole" operator="greaterThan" allowBlank="1" showInputMessage="1" showErrorMessage="1" errorTitle="Atenção" error="Deve ser digitado apenas o NÚMERO da primeira medição" sqref="Z17">
      <formula1>0</formula1>
    </dataValidation>
    <dataValidation type="list" allowBlank="1" showInputMessage="1" sqref="BV18:CA95">
      <formula1>glosas</formula1>
    </dataValidation>
    <dataValidation type="decimal" errorStyle="warning" allowBlank="1" showInputMessage="1" showErrorMessage="1" errorTitle="Atenção! " error="% medido é superior a 100% (Global)&#10;ou&#10;Quantidade é superior à contratada (P. Unit)&#10;ou&#10;Evolução acumulada negativa" sqref="Z19:AW95">
      <formula1>(SUM($Y19:Z19))*-1</formula1>
      <formula2>IF($I$15="Global",100-SUM($Z19:$AW19)+Z19,ROUND($O19,2)-SUM($Z19:$AW19)+Z19)</formula2>
    </dataValidation>
    <dataValidation type="decimal" allowBlank="1" showInputMessage="1" showErrorMessage="1" error="Valor Superior à da medição." sqref="BA19:BA95">
      <formula1>0</formula1>
      <formula2>U19</formula2>
    </dataValidation>
  </dataValidations>
  <printOptions horizontalCentered="1"/>
  <pageMargins left="0.19685039370078741" right="0.19685039370078741" top="0.23622047244094491" bottom="0.23622047244094491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Orçamento Comparativo</vt:lpstr>
      <vt:lpstr>Orçamento atual. 09-21</vt:lpstr>
      <vt:lpstr>Cronograma NOVO</vt:lpstr>
      <vt:lpstr>Plan2</vt:lpstr>
      <vt:lpstr>BM 01</vt:lpstr>
      <vt:lpstr>BM 02</vt:lpstr>
      <vt:lpstr>BM 03</vt:lpstr>
      <vt:lpstr>BM 04</vt:lpstr>
      <vt:lpstr>'Orçamento Comparativo'!Area_de_impressao</vt:lpstr>
      <vt:lpstr>'BM 03'!Titulos_de_impressao</vt:lpstr>
      <vt:lpstr>'BM 04'!Titulos_de_impressao</vt:lpstr>
      <vt:lpstr>'Orçamento atual. 09-21'!Titulos_de_impressao</vt:lpstr>
      <vt:lpstr>'Orçamento Comparativo'!Titulos_de_impressao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heli</dc:creator>
  <cp:lastModifiedBy>Daniela</cp:lastModifiedBy>
  <cp:lastPrinted>2021-09-24T17:01:33Z</cp:lastPrinted>
  <dcterms:created xsi:type="dcterms:W3CDTF">2020-10-15T13:42:05Z</dcterms:created>
  <dcterms:modified xsi:type="dcterms:W3CDTF">2021-09-24T17:02:04Z</dcterms:modified>
</cp:coreProperties>
</file>