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4240" windowHeight="13740" activeTab="4"/>
  </bookViews>
  <sheets>
    <sheet name="Plan1" sheetId="1" r:id="rId1"/>
    <sheet name="Plan2" sheetId="2" r:id="rId2"/>
    <sheet name="13_2020" sheetId="8" r:id="rId3"/>
    <sheet name="REV00_2022" sheetId="9" r:id="rId4"/>
    <sheet name="REV02_2022" sheetId="10" r:id="rId5"/>
    <sheet name="Crono_LICI" sheetId="12" r:id="rId6"/>
  </sheets>
  <externalReferences>
    <externalReference r:id="rId7"/>
  </externalReferences>
  <definedNames>
    <definedName name="_xlnm.Print_Area" localSheetId="2">'13_2020'!$A$1:$J$390</definedName>
    <definedName name="_xlnm.Print_Area" localSheetId="5">Crono_LICI!$A$1:$H$31</definedName>
    <definedName name="_xlnm.Print_Area" localSheetId="3">REV00_2022!$A$1:$K$390</definedName>
    <definedName name="_xlnm.Print_Area" localSheetId="4">REV02_2022!$A$1:$L$366</definedName>
    <definedName name="_xlnm.Print_Titles" localSheetId="2">'13_2020'!$2:$5</definedName>
    <definedName name="_xlnm.Print_Titles" localSheetId="5">Crono_LICI!$1:$7</definedName>
    <definedName name="_xlnm.Print_Titles" localSheetId="3">REV00_2022!$2:$5</definedName>
    <definedName name="_xlnm.Print_Titles" localSheetId="4">REV02_2022!$2:$5</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291" i="10"/>
  <c r="H16" i="12"/>
  <c r="H14"/>
  <c r="H12"/>
  <c r="K323" i="10" l="1"/>
  <c r="K319" s="1"/>
  <c r="J16" i="12" s="1"/>
  <c r="K317" i="10"/>
  <c r="K316"/>
  <c r="K315"/>
  <c r="K309"/>
  <c r="K302"/>
  <c r="K299"/>
  <c r="K275"/>
  <c r="K267"/>
  <c r="K260"/>
  <c r="K217"/>
  <c r="K239"/>
  <c r="K194"/>
  <c r="K189"/>
  <c r="K186"/>
  <c r="K181"/>
  <c r="K167"/>
  <c r="K164"/>
  <c r="K134"/>
  <c r="K128"/>
  <c r="I435"/>
  <c r="J435" s="1"/>
  <c r="J434" s="1"/>
  <c r="G430"/>
  <c r="G429"/>
  <c r="G428"/>
  <c r="G427"/>
  <c r="G426"/>
  <c r="J426" s="1"/>
  <c r="J425"/>
  <c r="G423"/>
  <c r="G422"/>
  <c r="G421"/>
  <c r="G420"/>
  <c r="G419"/>
  <c r="J416"/>
  <c r="G415"/>
  <c r="J415" s="1"/>
  <c r="J413"/>
  <c r="J412" s="1"/>
  <c r="G411"/>
  <c r="J411" s="1"/>
  <c r="G410"/>
  <c r="J410" s="1"/>
  <c r="I409"/>
  <c r="G409"/>
  <c r="J405"/>
  <c r="J404" s="1"/>
  <c r="G403"/>
  <c r="J403" s="1"/>
  <c r="J402" s="1"/>
  <c r="G401"/>
  <c r="J401" s="1"/>
  <c r="J399"/>
  <c r="G398"/>
  <c r="J398" s="1"/>
  <c r="J281"/>
  <c r="J280" s="1"/>
  <c r="M323" s="1"/>
  <c r="J277"/>
  <c r="J276"/>
  <c r="J273"/>
  <c r="J272"/>
  <c r="J271"/>
  <c r="J270"/>
  <c r="J269"/>
  <c r="J268"/>
  <c r="J265"/>
  <c r="J264"/>
  <c r="J263"/>
  <c r="J262"/>
  <c r="J261"/>
  <c r="J254"/>
  <c r="K254" s="1"/>
  <c r="G253"/>
  <c r="J253" s="1"/>
  <c r="K253" s="1"/>
  <c r="J252"/>
  <c r="K252" s="1"/>
  <c r="J251"/>
  <c r="K251" s="1"/>
  <c r="J250"/>
  <c r="M250" s="1"/>
  <c r="N317" s="1"/>
  <c r="J249"/>
  <c r="K249" s="1"/>
  <c r="J248"/>
  <c r="K248" s="1"/>
  <c r="J247"/>
  <c r="K247" s="1"/>
  <c r="J246"/>
  <c r="K246" s="1"/>
  <c r="J243"/>
  <c r="K243" s="1"/>
  <c r="J242"/>
  <c r="K242" s="1"/>
  <c r="J238"/>
  <c r="K238" s="1"/>
  <c r="J237"/>
  <c r="K237" s="1"/>
  <c r="J236"/>
  <c r="K236" s="1"/>
  <c r="J235"/>
  <c r="K235" s="1"/>
  <c r="J234"/>
  <c r="K234" s="1"/>
  <c r="J233"/>
  <c r="K233" s="1"/>
  <c r="J232"/>
  <c r="K232" s="1"/>
  <c r="J231"/>
  <c r="K231" s="1"/>
  <c r="I230"/>
  <c r="J230" s="1"/>
  <c r="M230" s="1"/>
  <c r="I229"/>
  <c r="J229" s="1"/>
  <c r="M229" s="1"/>
  <c r="I228"/>
  <c r="J228" s="1"/>
  <c r="M228" s="1"/>
  <c r="J227"/>
  <c r="K227" s="1"/>
  <c r="I226"/>
  <c r="J226" s="1"/>
  <c r="M226" s="1"/>
  <c r="I225"/>
  <c r="J225" s="1"/>
  <c r="M225" s="1"/>
  <c r="I224"/>
  <c r="J224" s="1"/>
  <c r="M224" s="1"/>
  <c r="I223"/>
  <c r="J223" s="1"/>
  <c r="M223" s="1"/>
  <c r="I222"/>
  <c r="J222" s="1"/>
  <c r="M222" s="1"/>
  <c r="I221"/>
  <c r="J221" s="1"/>
  <c r="M221" s="1"/>
  <c r="I220"/>
  <c r="J220" s="1"/>
  <c r="J216"/>
  <c r="K216" s="1"/>
  <c r="J215"/>
  <c r="K215" s="1"/>
  <c r="J214"/>
  <c r="K214" s="1"/>
  <c r="J213"/>
  <c r="K213" s="1"/>
  <c r="I212"/>
  <c r="J212" s="1"/>
  <c r="K212" s="1"/>
  <c r="J211"/>
  <c r="K211" s="1"/>
  <c r="J210"/>
  <c r="K210" s="1"/>
  <c r="J209"/>
  <c r="K209" s="1"/>
  <c r="J208"/>
  <c r="K208" s="1"/>
  <c r="J207"/>
  <c r="K207" s="1"/>
  <c r="J206"/>
  <c r="M206" s="1"/>
  <c r="I205"/>
  <c r="J205" s="1"/>
  <c r="M205" s="1"/>
  <c r="I204"/>
  <c r="J204" s="1"/>
  <c r="M204" s="1"/>
  <c r="J203"/>
  <c r="K203" s="1"/>
  <c r="I202"/>
  <c r="J202" s="1"/>
  <c r="I199"/>
  <c r="J199" s="1"/>
  <c r="M199" s="1"/>
  <c r="I198"/>
  <c r="J198" s="1"/>
  <c r="M198" s="1"/>
  <c r="I197"/>
  <c r="G197"/>
  <c r="I196"/>
  <c r="I195"/>
  <c r="G195"/>
  <c r="I192"/>
  <c r="J192" s="1"/>
  <c r="M192" s="1"/>
  <c r="I191"/>
  <c r="J191" s="1"/>
  <c r="M191" s="1"/>
  <c r="I190"/>
  <c r="J190" s="1"/>
  <c r="M190" s="1"/>
  <c r="I187"/>
  <c r="J187" s="1"/>
  <c r="I184"/>
  <c r="I430" s="1"/>
  <c r="I183"/>
  <c r="J183" s="1"/>
  <c r="M183" s="1"/>
  <c r="I182"/>
  <c r="J182" s="1"/>
  <c r="J179"/>
  <c r="K179" s="1"/>
  <c r="J178"/>
  <c r="K178" s="1"/>
  <c r="J177"/>
  <c r="M177" s="1"/>
  <c r="J176"/>
  <c r="K176" s="1"/>
  <c r="J175"/>
  <c r="I173"/>
  <c r="I423" s="1"/>
  <c r="I172"/>
  <c r="I427" s="1"/>
  <c r="J427" s="1"/>
  <c r="I171"/>
  <c r="I428" s="1"/>
  <c r="I170"/>
  <c r="J170" s="1"/>
  <c r="M170" s="1"/>
  <c r="I169"/>
  <c r="J169" s="1"/>
  <c r="I168"/>
  <c r="I419" s="1"/>
  <c r="I165"/>
  <c r="J165" s="1"/>
  <c r="I159"/>
  <c r="J159" s="1"/>
  <c r="J158" s="1"/>
  <c r="M304" s="1"/>
  <c r="J156"/>
  <c r="K156" s="1"/>
  <c r="J155"/>
  <c r="J154"/>
  <c r="M154" s="1"/>
  <c r="I153"/>
  <c r="J153" s="1"/>
  <c r="K153" s="1"/>
  <c r="J152"/>
  <c r="M152" s="1"/>
  <c r="I151"/>
  <c r="J151" s="1"/>
  <c r="M151" s="1"/>
  <c r="J150"/>
  <c r="K150" s="1"/>
  <c r="J149"/>
  <c r="M149" s="1"/>
  <c r="I148"/>
  <c r="J148" s="1"/>
  <c r="M148" s="1"/>
  <c r="I147"/>
  <c r="I433" s="1"/>
  <c r="I146"/>
  <c r="I432" s="1"/>
  <c r="J432" s="1"/>
  <c r="J431" s="1"/>
  <c r="J143"/>
  <c r="K143" s="1"/>
  <c r="K137" s="1"/>
  <c r="J142"/>
  <c r="M142" s="1"/>
  <c r="I141"/>
  <c r="J141" s="1"/>
  <c r="M141" s="1"/>
  <c r="I140"/>
  <c r="J140" s="1"/>
  <c r="M140" s="1"/>
  <c r="I139"/>
  <c r="J139" s="1"/>
  <c r="M139" s="1"/>
  <c r="I138"/>
  <c r="J138" s="1"/>
  <c r="I135"/>
  <c r="J135" s="1"/>
  <c r="I132"/>
  <c r="I420" s="1"/>
  <c r="J420" s="1"/>
  <c r="I131"/>
  <c r="J131" s="1"/>
  <c r="M131" s="1"/>
  <c r="I130"/>
  <c r="J130" s="1"/>
  <c r="M130" s="1"/>
  <c r="I129"/>
  <c r="J129" s="1"/>
  <c r="K126"/>
  <c r="J125"/>
  <c r="K125" s="1"/>
  <c r="J124"/>
  <c r="K124" s="1"/>
  <c r="J123"/>
  <c r="K123" s="1"/>
  <c r="I122"/>
  <c r="J122" s="1"/>
  <c r="K122" s="1"/>
  <c r="I121"/>
  <c r="J121" s="1"/>
  <c r="D91"/>
  <c r="D89"/>
  <c r="D87"/>
  <c r="B17" i="12" l="1"/>
  <c r="F17"/>
  <c r="C17"/>
  <c r="K219" i="10"/>
  <c r="K201"/>
  <c r="K314" s="1"/>
  <c r="K306" s="1"/>
  <c r="J14" i="12" s="1"/>
  <c r="D15" s="1"/>
  <c r="J414" i="10"/>
  <c r="K241"/>
  <c r="K245"/>
  <c r="J260"/>
  <c r="M320" s="1"/>
  <c r="H320" s="1"/>
  <c r="G400"/>
  <c r="J400" s="1"/>
  <c r="J397" s="1"/>
  <c r="J396" s="1"/>
  <c r="J171"/>
  <c r="M171" s="1"/>
  <c r="J184"/>
  <c r="M184" s="1"/>
  <c r="K281"/>
  <c r="K280" s="1"/>
  <c r="K283" s="1"/>
  <c r="J275"/>
  <c r="M322" s="1"/>
  <c r="H322" s="1"/>
  <c r="J267"/>
  <c r="M321" s="1"/>
  <c r="H321" s="1"/>
  <c r="J195"/>
  <c r="M195" s="1"/>
  <c r="J201"/>
  <c r="M314" s="1"/>
  <c r="J147"/>
  <c r="M147" s="1"/>
  <c r="G311"/>
  <c r="J311" s="1"/>
  <c r="M187"/>
  <c r="G307"/>
  <c r="J307" s="1"/>
  <c r="J164"/>
  <c r="M307" s="1"/>
  <c r="K145"/>
  <c r="K303" s="1"/>
  <c r="K298" s="1"/>
  <c r="J12" i="12" s="1"/>
  <c r="K120" i="10"/>
  <c r="J168"/>
  <c r="M168" s="1"/>
  <c r="J172"/>
  <c r="M172" s="1"/>
  <c r="J197"/>
  <c r="M197" s="1"/>
  <c r="K159"/>
  <c r="K158" s="1"/>
  <c r="K304" s="1"/>
  <c r="J174"/>
  <c r="M309" s="1"/>
  <c r="G312"/>
  <c r="J312" s="1"/>
  <c r="J241"/>
  <c r="M316" s="1"/>
  <c r="H316" s="1"/>
  <c r="J245"/>
  <c r="M317" s="1"/>
  <c r="O317" s="1"/>
  <c r="J409"/>
  <c r="J408" s="1"/>
  <c r="K174"/>
  <c r="M138"/>
  <c r="J137"/>
  <c r="M302" s="1"/>
  <c r="N302"/>
  <c r="G304"/>
  <c r="H304"/>
  <c r="I304"/>
  <c r="G320"/>
  <c r="J419"/>
  <c r="J423"/>
  <c r="J428"/>
  <c r="M121"/>
  <c r="J120"/>
  <c r="H323"/>
  <c r="G323"/>
  <c r="M182"/>
  <c r="J219"/>
  <c r="J430"/>
  <c r="M135"/>
  <c r="J134"/>
  <c r="M301" s="1"/>
  <c r="G301"/>
  <c r="J301" s="1"/>
  <c r="M169"/>
  <c r="M129"/>
  <c r="J132"/>
  <c r="M132" s="1"/>
  <c r="J146"/>
  <c r="J173"/>
  <c r="M173" s="1"/>
  <c r="M175"/>
  <c r="N309" s="1"/>
  <c r="J186"/>
  <c r="M311" s="1"/>
  <c r="J189"/>
  <c r="M312" s="1"/>
  <c r="M202"/>
  <c r="N314" s="1"/>
  <c r="M220"/>
  <c r="N315" s="1"/>
  <c r="I422"/>
  <c r="J422" s="1"/>
  <c r="I429"/>
  <c r="J429" s="1"/>
  <c r="G196"/>
  <c r="J196" s="1"/>
  <c r="M196" s="1"/>
  <c r="M165"/>
  <c r="I421"/>
  <c r="J421" s="1"/>
  <c r="J459" i="9"/>
  <c r="J458" s="1"/>
  <c r="I459"/>
  <c r="G454"/>
  <c r="G453"/>
  <c r="G452"/>
  <c r="G451"/>
  <c r="J450"/>
  <c r="G450"/>
  <c r="J449"/>
  <c r="G447"/>
  <c r="G446"/>
  <c r="G445"/>
  <c r="G444"/>
  <c r="G443"/>
  <c r="J440"/>
  <c r="G439"/>
  <c r="J439" s="1"/>
  <c r="J437"/>
  <c r="J436" s="1"/>
  <c r="G435"/>
  <c r="J435" s="1"/>
  <c r="G434"/>
  <c r="J434" s="1"/>
  <c r="I433"/>
  <c r="G433"/>
  <c r="J429"/>
  <c r="J428" s="1"/>
  <c r="G427"/>
  <c r="J427" s="1"/>
  <c r="J426" s="1"/>
  <c r="G425"/>
  <c r="J425" s="1"/>
  <c r="J423"/>
  <c r="G422"/>
  <c r="G424" s="1"/>
  <c r="J424" s="1"/>
  <c r="J306"/>
  <c r="J305" s="1"/>
  <c r="L347" s="1"/>
  <c r="J302"/>
  <c r="J301"/>
  <c r="J298"/>
  <c r="J297"/>
  <c r="J296"/>
  <c r="J295"/>
  <c r="J294"/>
  <c r="J293"/>
  <c r="J290"/>
  <c r="J289"/>
  <c r="J288"/>
  <c r="J287"/>
  <c r="J286"/>
  <c r="J279"/>
  <c r="G278"/>
  <c r="J278" s="1"/>
  <c r="J277"/>
  <c r="J276"/>
  <c r="J275"/>
  <c r="L275" s="1"/>
  <c r="M341" s="1"/>
  <c r="J274"/>
  <c r="J273"/>
  <c r="J272"/>
  <c r="J271"/>
  <c r="J268"/>
  <c r="J267"/>
  <c r="J264"/>
  <c r="J263"/>
  <c r="J262"/>
  <c r="J261"/>
  <c r="J260"/>
  <c r="J259"/>
  <c r="J258"/>
  <c r="J257"/>
  <c r="I256"/>
  <c r="J256" s="1"/>
  <c r="L256" s="1"/>
  <c r="I255"/>
  <c r="J255" s="1"/>
  <c r="L255" s="1"/>
  <c r="I254"/>
  <c r="J254" s="1"/>
  <c r="L254" s="1"/>
  <c r="J253"/>
  <c r="I250"/>
  <c r="J250" s="1"/>
  <c r="L250" s="1"/>
  <c r="I249"/>
  <c r="J249" s="1"/>
  <c r="L249" s="1"/>
  <c r="I248"/>
  <c r="J248" s="1"/>
  <c r="L248" s="1"/>
  <c r="I247"/>
  <c r="J247" s="1"/>
  <c r="L247" s="1"/>
  <c r="I246"/>
  <c r="J246" s="1"/>
  <c r="L246" s="1"/>
  <c r="I245"/>
  <c r="J245" s="1"/>
  <c r="L245" s="1"/>
  <c r="I244"/>
  <c r="J244" s="1"/>
  <c r="J241"/>
  <c r="J240"/>
  <c r="J239"/>
  <c r="J238"/>
  <c r="I237"/>
  <c r="J237" s="1"/>
  <c r="J236"/>
  <c r="J235"/>
  <c r="J234"/>
  <c r="J233"/>
  <c r="J232"/>
  <c r="J231"/>
  <c r="L231" s="1"/>
  <c r="I230"/>
  <c r="J230" s="1"/>
  <c r="L230" s="1"/>
  <c r="I229"/>
  <c r="J229" s="1"/>
  <c r="L229" s="1"/>
  <c r="J228"/>
  <c r="I227"/>
  <c r="J227" s="1"/>
  <c r="I224"/>
  <c r="J224" s="1"/>
  <c r="L224" s="1"/>
  <c r="I223"/>
  <c r="J223" s="1"/>
  <c r="L223" s="1"/>
  <c r="I222"/>
  <c r="G222"/>
  <c r="I221"/>
  <c r="G220"/>
  <c r="I215"/>
  <c r="J215" s="1"/>
  <c r="I212"/>
  <c r="J212" s="1"/>
  <c r="G335" s="1"/>
  <c r="J335" s="1"/>
  <c r="I209"/>
  <c r="I454" s="1"/>
  <c r="J454" s="1"/>
  <c r="I208"/>
  <c r="J208" s="1"/>
  <c r="L208" s="1"/>
  <c r="I207"/>
  <c r="J207" s="1"/>
  <c r="J204"/>
  <c r="J203"/>
  <c r="J202"/>
  <c r="L202" s="1"/>
  <c r="J201"/>
  <c r="J200"/>
  <c r="L200" s="1"/>
  <c r="I196"/>
  <c r="I447" s="1"/>
  <c r="I195"/>
  <c r="J195" s="1"/>
  <c r="L195" s="1"/>
  <c r="I194"/>
  <c r="I452" s="1"/>
  <c r="I193"/>
  <c r="J193" s="1"/>
  <c r="L193" s="1"/>
  <c r="I192"/>
  <c r="J192" s="1"/>
  <c r="L192" s="1"/>
  <c r="I191"/>
  <c r="J191" s="1"/>
  <c r="I188"/>
  <c r="J188" s="1"/>
  <c r="I182"/>
  <c r="J182" s="1"/>
  <c r="J181" s="1"/>
  <c r="L328" s="1"/>
  <c r="J179"/>
  <c r="J178"/>
  <c r="J177"/>
  <c r="L177" s="1"/>
  <c r="J175"/>
  <c r="L175" s="1"/>
  <c r="I174"/>
  <c r="J174" s="1"/>
  <c r="L174" s="1"/>
  <c r="J173"/>
  <c r="J172"/>
  <c r="L172" s="1"/>
  <c r="I171"/>
  <c r="J171" s="1"/>
  <c r="L171" s="1"/>
  <c r="I170"/>
  <c r="J170" s="1"/>
  <c r="I169"/>
  <c r="I456" s="1"/>
  <c r="J456" s="1"/>
  <c r="J455" s="1"/>
  <c r="J166"/>
  <c r="J165"/>
  <c r="L165" s="1"/>
  <c r="I164"/>
  <c r="J164" s="1"/>
  <c r="L164" s="1"/>
  <c r="I163"/>
  <c r="J163" s="1"/>
  <c r="L163" s="1"/>
  <c r="I162"/>
  <c r="J162" s="1"/>
  <c r="I161"/>
  <c r="J161" s="1"/>
  <c r="L161" s="1"/>
  <c r="I158"/>
  <c r="J158" s="1"/>
  <c r="I155"/>
  <c r="I444" s="1"/>
  <c r="J444" s="1"/>
  <c r="I154"/>
  <c r="J154" s="1"/>
  <c r="L154" s="1"/>
  <c r="I153"/>
  <c r="J153" s="1"/>
  <c r="L153" s="1"/>
  <c r="I152"/>
  <c r="J152" s="1"/>
  <c r="J149"/>
  <c r="J148"/>
  <c r="J147"/>
  <c r="I146"/>
  <c r="J146" s="1"/>
  <c r="I145"/>
  <c r="J145" s="1"/>
  <c r="D105"/>
  <c r="D103"/>
  <c r="D98"/>
  <c r="C13" i="12" l="1"/>
  <c r="B13"/>
  <c r="H13" s="1"/>
  <c r="D13"/>
  <c r="K325" i="10"/>
  <c r="E15" i="12"/>
  <c r="H17"/>
  <c r="B15"/>
  <c r="C15"/>
  <c r="H15" s="1"/>
  <c r="I316" i="10"/>
  <c r="O309"/>
  <c r="I309" s="1"/>
  <c r="J407"/>
  <c r="J181"/>
  <c r="M310" s="1"/>
  <c r="G322"/>
  <c r="J283"/>
  <c r="G321"/>
  <c r="I321" s="1"/>
  <c r="G310"/>
  <c r="J310" s="1"/>
  <c r="G316"/>
  <c r="I320"/>
  <c r="J320" s="1"/>
  <c r="K256"/>
  <c r="J424"/>
  <c r="I323"/>
  <c r="I322"/>
  <c r="J322" s="1"/>
  <c r="M315"/>
  <c r="O315" s="1"/>
  <c r="O314"/>
  <c r="I314" s="1"/>
  <c r="K161"/>
  <c r="O302"/>
  <c r="I302" s="1"/>
  <c r="J144" i="9"/>
  <c r="J438"/>
  <c r="J422"/>
  <c r="H309" i="10"/>
  <c r="M146"/>
  <c r="N303" s="1"/>
  <c r="J145"/>
  <c r="M303" s="1"/>
  <c r="N299"/>
  <c r="M299"/>
  <c r="N121"/>
  <c r="J194"/>
  <c r="M313" s="1"/>
  <c r="J323"/>
  <c r="J418"/>
  <c r="G317"/>
  <c r="H317"/>
  <c r="I317"/>
  <c r="N254"/>
  <c r="J167"/>
  <c r="M308" s="1"/>
  <c r="J128"/>
  <c r="M300" s="1"/>
  <c r="G300" s="1"/>
  <c r="J300" s="1"/>
  <c r="G313"/>
  <c r="J313" s="1"/>
  <c r="J316"/>
  <c r="G308"/>
  <c r="J308" s="1"/>
  <c r="J304"/>
  <c r="J209" i="9"/>
  <c r="L209" s="1"/>
  <c r="J222"/>
  <c r="L222" s="1"/>
  <c r="J194"/>
  <c r="L194" s="1"/>
  <c r="J285"/>
  <c r="L158"/>
  <c r="J157"/>
  <c r="L325" s="1"/>
  <c r="J169"/>
  <c r="L169" s="1"/>
  <c r="J292"/>
  <c r="L345" s="1"/>
  <c r="G345" s="1"/>
  <c r="J270"/>
  <c r="L341" s="1"/>
  <c r="N341" s="1"/>
  <c r="J433"/>
  <c r="J155"/>
  <c r="L155" s="1"/>
  <c r="J199"/>
  <c r="L333" s="1"/>
  <c r="J266"/>
  <c r="L340" s="1"/>
  <c r="G340" s="1"/>
  <c r="J300"/>
  <c r="L346" s="1"/>
  <c r="H346" s="1"/>
  <c r="G328"/>
  <c r="H328"/>
  <c r="I328"/>
  <c r="M333"/>
  <c r="J452"/>
  <c r="L152"/>
  <c r="L145"/>
  <c r="L191"/>
  <c r="G331"/>
  <c r="J331" s="1"/>
  <c r="L188"/>
  <c r="J187"/>
  <c r="L331" s="1"/>
  <c r="I340"/>
  <c r="J421"/>
  <c r="J420" s="1"/>
  <c r="J447"/>
  <c r="L170"/>
  <c r="J226"/>
  <c r="L338" s="1"/>
  <c r="L227"/>
  <c r="M338" s="1"/>
  <c r="J243"/>
  <c r="L339" s="1"/>
  <c r="L244"/>
  <c r="M339" s="1"/>
  <c r="J432"/>
  <c r="J431" s="1"/>
  <c r="J160"/>
  <c r="L326" s="1"/>
  <c r="L162"/>
  <c r="L207"/>
  <c r="J206"/>
  <c r="L334" s="1"/>
  <c r="G334"/>
  <c r="J334" s="1"/>
  <c r="H347"/>
  <c r="I347" s="1"/>
  <c r="G347"/>
  <c r="M327"/>
  <c r="J196"/>
  <c r="L196" s="1"/>
  <c r="J211"/>
  <c r="L335" s="1"/>
  <c r="G325"/>
  <c r="J325" s="1"/>
  <c r="M326"/>
  <c r="I446"/>
  <c r="J446" s="1"/>
  <c r="I453"/>
  <c r="J453" s="1"/>
  <c r="I457"/>
  <c r="L212"/>
  <c r="L215"/>
  <c r="G221"/>
  <c r="J221" s="1"/>
  <c r="L221" s="1"/>
  <c r="I443"/>
  <c r="J443" s="1"/>
  <c r="I451"/>
  <c r="J451" s="1"/>
  <c r="J448" s="1"/>
  <c r="I445"/>
  <c r="J445" s="1"/>
  <c r="J231" i="8"/>
  <c r="J202"/>
  <c r="J200"/>
  <c r="J177"/>
  <c r="J175"/>
  <c r="J172"/>
  <c r="J165"/>
  <c r="H18" i="12" l="1"/>
  <c r="G309" i="10"/>
  <c r="H314"/>
  <c r="J417"/>
  <c r="J437" s="1"/>
  <c r="J321"/>
  <c r="G302"/>
  <c r="H302"/>
  <c r="K286"/>
  <c r="G314"/>
  <c r="J317"/>
  <c r="J256"/>
  <c r="J161"/>
  <c r="N159"/>
  <c r="M256"/>
  <c r="J287" s="1"/>
  <c r="J309"/>
  <c r="N333" i="9"/>
  <c r="G315" i="10"/>
  <c r="H315"/>
  <c r="I315"/>
  <c r="M325"/>
  <c r="O299"/>
  <c r="O303"/>
  <c r="J151" i="9"/>
  <c r="L324" s="1"/>
  <c r="G324" s="1"/>
  <c r="J324" s="1"/>
  <c r="J328"/>
  <c r="H345"/>
  <c r="I345" s="1"/>
  <c r="J345" s="1"/>
  <c r="J308"/>
  <c r="L344"/>
  <c r="H340"/>
  <c r="J340" s="1"/>
  <c r="N339"/>
  <c r="I339" s="1"/>
  <c r="G346"/>
  <c r="I346" s="1"/>
  <c r="J346" s="1"/>
  <c r="J442"/>
  <c r="J441" s="1"/>
  <c r="J461" s="1"/>
  <c r="H333"/>
  <c r="I333"/>
  <c r="G333"/>
  <c r="G332"/>
  <c r="J332" s="1"/>
  <c r="M182"/>
  <c r="M323"/>
  <c r="J347"/>
  <c r="N326"/>
  <c r="N338"/>
  <c r="J190"/>
  <c r="L332" s="1"/>
  <c r="G341"/>
  <c r="H341"/>
  <c r="I341"/>
  <c r="L323"/>
  <c r="M145"/>
  <c r="G344"/>
  <c r="H344"/>
  <c r="I459" i="8"/>
  <c r="J459" s="1"/>
  <c r="J458" s="1"/>
  <c r="G454"/>
  <c r="G453"/>
  <c r="G452"/>
  <c r="G451"/>
  <c r="G450"/>
  <c r="J450" s="1"/>
  <c r="J449"/>
  <c r="G447"/>
  <c r="G446"/>
  <c r="G445"/>
  <c r="G444"/>
  <c r="G443"/>
  <c r="J440"/>
  <c r="G439"/>
  <c r="J439" s="1"/>
  <c r="J438" s="1"/>
  <c r="J437"/>
  <c r="J436"/>
  <c r="G435"/>
  <c r="J435" s="1"/>
  <c r="G434"/>
  <c r="J434" s="1"/>
  <c r="I433"/>
  <c r="G433"/>
  <c r="J433" s="1"/>
  <c r="J429"/>
  <c r="J428" s="1"/>
  <c r="J427"/>
  <c r="J426" s="1"/>
  <c r="G427"/>
  <c r="G425"/>
  <c r="J425" s="1"/>
  <c r="G424"/>
  <c r="J424" s="1"/>
  <c r="J423"/>
  <c r="G422"/>
  <c r="J422" s="1"/>
  <c r="J306"/>
  <c r="J305" s="1"/>
  <c r="L347" s="1"/>
  <c r="J302"/>
  <c r="J301"/>
  <c r="J298"/>
  <c r="J297"/>
  <c r="J296"/>
  <c r="J295"/>
  <c r="J294"/>
  <c r="J293"/>
  <c r="J290"/>
  <c r="J289"/>
  <c r="J288"/>
  <c r="J287"/>
  <c r="J286"/>
  <c r="J285" s="1"/>
  <c r="J279"/>
  <c r="G278"/>
  <c r="J278" s="1"/>
  <c r="J277"/>
  <c r="J276"/>
  <c r="J275"/>
  <c r="L275" s="1"/>
  <c r="M341" s="1"/>
  <c r="J274"/>
  <c r="J273"/>
  <c r="J272"/>
  <c r="J271"/>
  <c r="J268"/>
  <c r="J267"/>
  <c r="J264"/>
  <c r="J263"/>
  <c r="J262"/>
  <c r="J261"/>
  <c r="J260"/>
  <c r="J259"/>
  <c r="J258"/>
  <c r="J257"/>
  <c r="I256"/>
  <c r="J256" s="1"/>
  <c r="L256" s="1"/>
  <c r="I255"/>
  <c r="J255" s="1"/>
  <c r="L255" s="1"/>
  <c r="I254"/>
  <c r="J254" s="1"/>
  <c r="L254" s="1"/>
  <c r="J253"/>
  <c r="I250"/>
  <c r="J250" s="1"/>
  <c r="L250" s="1"/>
  <c r="I249"/>
  <c r="J249" s="1"/>
  <c r="L249" s="1"/>
  <c r="I248"/>
  <c r="J248" s="1"/>
  <c r="L248" s="1"/>
  <c r="I247"/>
  <c r="J247" s="1"/>
  <c r="L247" s="1"/>
  <c r="I246"/>
  <c r="J246" s="1"/>
  <c r="L246" s="1"/>
  <c r="I245"/>
  <c r="J245" s="1"/>
  <c r="L245" s="1"/>
  <c r="I244"/>
  <c r="J244" s="1"/>
  <c r="J241"/>
  <c r="J240"/>
  <c r="J239"/>
  <c r="J238"/>
  <c r="I237"/>
  <c r="J237" s="1"/>
  <c r="J236"/>
  <c r="J235"/>
  <c r="J234"/>
  <c r="J233"/>
  <c r="J232"/>
  <c r="L231"/>
  <c r="I230"/>
  <c r="J230" s="1"/>
  <c r="L230" s="1"/>
  <c r="J229"/>
  <c r="L229" s="1"/>
  <c r="I229"/>
  <c r="J228"/>
  <c r="I227"/>
  <c r="J227" s="1"/>
  <c r="I224"/>
  <c r="J224" s="1"/>
  <c r="L224" s="1"/>
  <c r="I223"/>
  <c r="J223" s="1"/>
  <c r="L223" s="1"/>
  <c r="I222"/>
  <c r="G222"/>
  <c r="I221"/>
  <c r="G220"/>
  <c r="G221" s="1"/>
  <c r="I215"/>
  <c r="J215" s="1"/>
  <c r="I212"/>
  <c r="J212" s="1"/>
  <c r="J211" s="1"/>
  <c r="L335" s="1"/>
  <c r="I209"/>
  <c r="I454" s="1"/>
  <c r="I208"/>
  <c r="J208" s="1"/>
  <c r="L208" s="1"/>
  <c r="I207"/>
  <c r="J207" s="1"/>
  <c r="J204"/>
  <c r="J203"/>
  <c r="J199" s="1"/>
  <c r="L333" s="1"/>
  <c r="L202"/>
  <c r="J201"/>
  <c r="I196"/>
  <c r="I453" s="1"/>
  <c r="J453" s="1"/>
  <c r="I195"/>
  <c r="I446" s="1"/>
  <c r="J446" s="1"/>
  <c r="I194"/>
  <c r="J194" s="1"/>
  <c r="L194" s="1"/>
  <c r="I193"/>
  <c r="J193" s="1"/>
  <c r="L193" s="1"/>
  <c r="I192"/>
  <c r="J192" s="1"/>
  <c r="L192" s="1"/>
  <c r="I191"/>
  <c r="I443" s="1"/>
  <c r="I188"/>
  <c r="J188" s="1"/>
  <c r="J187" s="1"/>
  <c r="L331" s="1"/>
  <c r="I182"/>
  <c r="J182" s="1"/>
  <c r="J181" s="1"/>
  <c r="L328" s="1"/>
  <c r="J179"/>
  <c r="J178"/>
  <c r="L177"/>
  <c r="L175"/>
  <c r="I174"/>
  <c r="J174" s="1"/>
  <c r="L174" s="1"/>
  <c r="J173"/>
  <c r="L172"/>
  <c r="I171"/>
  <c r="J171" s="1"/>
  <c r="L171" s="1"/>
  <c r="I170"/>
  <c r="I457" s="1"/>
  <c r="I169"/>
  <c r="I456" s="1"/>
  <c r="J456" s="1"/>
  <c r="J455" s="1"/>
  <c r="J166"/>
  <c r="L165"/>
  <c r="I164"/>
  <c r="J164" s="1"/>
  <c r="L164" s="1"/>
  <c r="I163"/>
  <c r="J163" s="1"/>
  <c r="L163" s="1"/>
  <c r="I162"/>
  <c r="J162" s="1"/>
  <c r="L162" s="1"/>
  <c r="I161"/>
  <c r="J161" s="1"/>
  <c r="I158"/>
  <c r="J158" s="1"/>
  <c r="I155"/>
  <c r="I444" s="1"/>
  <c r="I154"/>
  <c r="J154" s="1"/>
  <c r="L154" s="1"/>
  <c r="I153"/>
  <c r="J153" s="1"/>
  <c r="L153" s="1"/>
  <c r="I152"/>
  <c r="J152" s="1"/>
  <c r="J149"/>
  <c r="J148"/>
  <c r="J147"/>
  <c r="I146"/>
  <c r="J146" s="1"/>
  <c r="I145"/>
  <c r="J145" s="1"/>
  <c r="D105"/>
  <c r="D103"/>
  <c r="D98"/>
  <c r="J314" i="10" l="1"/>
  <c r="J302"/>
  <c r="J285"/>
  <c r="G303"/>
  <c r="H303"/>
  <c r="I303"/>
  <c r="J315"/>
  <c r="G299"/>
  <c r="H299"/>
  <c r="H325" s="1"/>
  <c r="I299"/>
  <c r="I344" i="9"/>
  <c r="H339"/>
  <c r="J339" s="1"/>
  <c r="G339"/>
  <c r="J169" i="8"/>
  <c r="J221"/>
  <c r="L221" s="1"/>
  <c r="J266"/>
  <c r="L340" s="1"/>
  <c r="H340" s="1"/>
  <c r="J341" i="9"/>
  <c r="J300" i="8"/>
  <c r="L346" s="1"/>
  <c r="N323" i="9"/>
  <c r="I326"/>
  <c r="G326"/>
  <c r="H326"/>
  <c r="I338"/>
  <c r="G338"/>
  <c r="H338"/>
  <c r="J333"/>
  <c r="J344"/>
  <c r="L161" i="8"/>
  <c r="M326"/>
  <c r="J157"/>
  <c r="L325" s="1"/>
  <c r="G325"/>
  <c r="J195"/>
  <c r="L195" s="1"/>
  <c r="J222"/>
  <c r="L222" s="1"/>
  <c r="L145"/>
  <c r="M323" s="1"/>
  <c r="J144"/>
  <c r="J155"/>
  <c r="L155" s="1"/>
  <c r="J191"/>
  <c r="L191" s="1"/>
  <c r="J209"/>
  <c r="L209" s="1"/>
  <c r="J292"/>
  <c r="L345" s="1"/>
  <c r="J270"/>
  <c r="L341" s="1"/>
  <c r="N341" s="1"/>
  <c r="J243"/>
  <c r="L339" s="1"/>
  <c r="J226"/>
  <c r="L338" s="1"/>
  <c r="J160"/>
  <c r="L326" s="1"/>
  <c r="L152"/>
  <c r="L188"/>
  <c r="G331"/>
  <c r="J331" s="1"/>
  <c r="J444"/>
  <c r="L323"/>
  <c r="N323" s="1"/>
  <c r="L212"/>
  <c r="G335"/>
  <c r="J335" s="1"/>
  <c r="L344"/>
  <c r="J325"/>
  <c r="L158"/>
  <c r="J432"/>
  <c r="J431" s="1"/>
  <c r="J454"/>
  <c r="J421"/>
  <c r="J420" s="1"/>
  <c r="J443"/>
  <c r="L169"/>
  <c r="J196"/>
  <c r="L196" s="1"/>
  <c r="L200"/>
  <c r="M333" s="1"/>
  <c r="N333" s="1"/>
  <c r="L207"/>
  <c r="L215"/>
  <c r="L227"/>
  <c r="M338" s="1"/>
  <c r="L244"/>
  <c r="M339" s="1"/>
  <c r="I445"/>
  <c r="J445" s="1"/>
  <c r="I452"/>
  <c r="J452" s="1"/>
  <c r="I451"/>
  <c r="J451" s="1"/>
  <c r="J170"/>
  <c r="L170" s="1"/>
  <c r="I447"/>
  <c r="J447" s="1"/>
  <c r="I325" i="10" l="1"/>
  <c r="G325"/>
  <c r="J299"/>
  <c r="J303"/>
  <c r="O293"/>
  <c r="H333" i="8"/>
  <c r="G333"/>
  <c r="I333"/>
  <c r="J206"/>
  <c r="L334" s="1"/>
  <c r="I341"/>
  <c r="G341"/>
  <c r="H341"/>
  <c r="G334"/>
  <c r="J334" s="1"/>
  <c r="G323" i="9"/>
  <c r="H323"/>
  <c r="I323"/>
  <c r="J338"/>
  <c r="J326"/>
  <c r="N326" i="8"/>
  <c r="N338"/>
  <c r="G323"/>
  <c r="H323"/>
  <c r="I323"/>
  <c r="G332"/>
  <c r="J332" s="1"/>
  <c r="N339"/>
  <c r="M327"/>
  <c r="M145"/>
  <c r="J151"/>
  <c r="L324" s="1"/>
  <c r="J308"/>
  <c r="J448"/>
  <c r="J190"/>
  <c r="L332" s="1"/>
  <c r="M182"/>
  <c r="J442"/>
  <c r="J325" i="10" l="1"/>
  <c r="G326" s="1"/>
  <c r="F331"/>
  <c r="F333"/>
  <c r="F334"/>
  <c r="J323" i="9"/>
  <c r="I326" i="8"/>
  <c r="G326"/>
  <c r="H326"/>
  <c r="I338"/>
  <c r="G338"/>
  <c r="H338"/>
  <c r="G324"/>
  <c r="J324" s="1"/>
  <c r="H339"/>
  <c r="I339"/>
  <c r="G339"/>
  <c r="J441"/>
  <c r="J461" s="1"/>
  <c r="F332" i="10" l="1"/>
  <c r="F335" s="1"/>
  <c r="L292"/>
  <c r="H326"/>
  <c r="I326"/>
  <c r="G345" i="8"/>
  <c r="G340"/>
  <c r="G347"/>
  <c r="G346"/>
  <c r="G328"/>
  <c r="G344"/>
  <c r="H345"/>
  <c r="H346"/>
  <c r="H347"/>
  <c r="H328"/>
  <c r="H344"/>
  <c r="J326" i="10" l="1"/>
  <c r="I347" i="8"/>
  <c r="J347" s="1"/>
  <c r="I345"/>
  <c r="J345" s="1"/>
  <c r="I344"/>
  <c r="J344" s="1"/>
  <c r="I346"/>
  <c r="J346" s="1"/>
  <c r="J145" i="2" l="1"/>
  <c r="K171"/>
  <c r="K170" s="1"/>
  <c r="K168"/>
  <c r="K167" s="1"/>
  <c r="H166"/>
  <c r="K166" s="1"/>
  <c r="H165"/>
  <c r="K165" s="1"/>
  <c r="H164"/>
  <c r="K164" s="1"/>
  <c r="H163"/>
  <c r="K163" s="1"/>
  <c r="H162"/>
  <c r="K162" s="1"/>
  <c r="K161"/>
  <c r="H159"/>
  <c r="K159" s="1"/>
  <c r="H158"/>
  <c r="K158" s="1"/>
  <c r="H157"/>
  <c r="K157" s="1"/>
  <c r="H156"/>
  <c r="K156" s="1"/>
  <c r="H155"/>
  <c r="K155" s="1"/>
  <c r="K152"/>
  <c r="H151"/>
  <c r="K151" s="1"/>
  <c r="K149"/>
  <c r="K148" s="1"/>
  <c r="H147"/>
  <c r="K147" s="1"/>
  <c r="H146"/>
  <c r="K146" s="1"/>
  <c r="H145"/>
  <c r="K141"/>
  <c r="K140" s="1"/>
  <c r="H139"/>
  <c r="K139" s="1"/>
  <c r="K138" s="1"/>
  <c r="H137"/>
  <c r="K137" s="1"/>
  <c r="K135"/>
  <c r="H134"/>
  <c r="H136" s="1"/>
  <c r="K136" s="1"/>
  <c r="L141" i="1"/>
  <c r="K134" i="2" l="1"/>
  <c r="K150"/>
  <c r="K145"/>
  <c r="K144" s="1"/>
  <c r="K160"/>
  <c r="K154"/>
  <c r="K133"/>
  <c r="K132" s="1"/>
  <c r="J141" i="1"/>
  <c r="K153" i="2" l="1"/>
  <c r="K143"/>
  <c r="H371" i="1"/>
  <c r="H372"/>
  <c r="H370"/>
  <c r="K173" i="2" l="1"/>
  <c r="J280" i="1"/>
  <c r="J279"/>
  <c r="J181"/>
  <c r="J180" s="1"/>
  <c r="J365" s="1"/>
  <c r="H365" s="1"/>
  <c r="J288"/>
  <c r="J287"/>
  <c r="J284"/>
  <c r="J283" s="1"/>
  <c r="J184"/>
  <c r="J183" s="1"/>
  <c r="J366" s="1"/>
  <c r="H366" s="1"/>
  <c r="J177"/>
  <c r="J175"/>
  <c r="G471"/>
  <c r="J471" s="1"/>
  <c r="G447"/>
  <c r="G473"/>
  <c r="J473" s="1"/>
  <c r="G472"/>
  <c r="J472" s="1"/>
  <c r="G463"/>
  <c r="G470"/>
  <c r="J470" s="1"/>
  <c r="G469"/>
  <c r="J469" s="1"/>
  <c r="G466"/>
  <c r="G465"/>
  <c r="G464"/>
  <c r="G462"/>
  <c r="J302"/>
  <c r="J303"/>
  <c r="J304"/>
  <c r="J305"/>
  <c r="J306"/>
  <c r="J301"/>
  <c r="J468"/>
  <c r="J476"/>
  <c r="J475"/>
  <c r="J478"/>
  <c r="G281"/>
  <c r="J281" s="1"/>
  <c r="G458"/>
  <c r="G454"/>
  <c r="G453"/>
  <c r="G452"/>
  <c r="J286" l="1"/>
  <c r="J278"/>
  <c r="G445"/>
  <c r="J453"/>
  <c r="J454"/>
  <c r="G164"/>
  <c r="G165"/>
  <c r="J459"/>
  <c r="J290" l="1"/>
  <c r="J452"/>
  <c r="J451" s="1"/>
  <c r="J477"/>
  <c r="J466"/>
  <c r="J465"/>
  <c r="J464"/>
  <c r="J463"/>
  <c r="J462"/>
  <c r="J458"/>
  <c r="J457" s="1"/>
  <c r="J456"/>
  <c r="J455" s="1"/>
  <c r="J449"/>
  <c r="J447"/>
  <c r="J446" s="1"/>
  <c r="J445"/>
  <c r="J443"/>
  <c r="G442"/>
  <c r="G444" s="1"/>
  <c r="J444" s="1"/>
  <c r="J448" l="1"/>
  <c r="J467"/>
  <c r="J474"/>
  <c r="J461"/>
  <c r="J442"/>
  <c r="J441" s="1"/>
  <c r="J178" l="1"/>
  <c r="J176"/>
  <c r="J460"/>
  <c r="J479" s="1"/>
  <c r="F387"/>
  <c r="J174" l="1"/>
  <c r="J295"/>
  <c r="J296"/>
  <c r="J297"/>
  <c r="J298"/>
  <c r="J294"/>
  <c r="J313"/>
  <c r="J312" s="1"/>
  <c r="J378" s="1"/>
  <c r="H378" s="1"/>
  <c r="J310"/>
  <c r="J309"/>
  <c r="J186" l="1"/>
  <c r="J364"/>
  <c r="J308"/>
  <c r="J377" s="1"/>
  <c r="H377" s="1"/>
  <c r="J293"/>
  <c r="J375" s="1"/>
  <c r="H375" s="1"/>
  <c r="H364" l="1"/>
  <c r="J300"/>
  <c r="J267"/>
  <c r="J268"/>
  <c r="J271"/>
  <c r="J272"/>
  <c r="J273"/>
  <c r="J266"/>
  <c r="J262"/>
  <c r="J260"/>
  <c r="J243"/>
  <c r="J244"/>
  <c r="J245"/>
  <c r="J246"/>
  <c r="J247"/>
  <c r="J248"/>
  <c r="J249"/>
  <c r="J250"/>
  <c r="J251"/>
  <c r="J252"/>
  <c r="J253"/>
  <c r="J254"/>
  <c r="J255"/>
  <c r="J256"/>
  <c r="J257"/>
  <c r="J258"/>
  <c r="J259"/>
  <c r="J242"/>
  <c r="J228"/>
  <c r="J229"/>
  <c r="J230"/>
  <c r="J231"/>
  <c r="J232"/>
  <c r="J233"/>
  <c r="J234"/>
  <c r="J235"/>
  <c r="J236"/>
  <c r="J237"/>
  <c r="J238"/>
  <c r="J239"/>
  <c r="J227"/>
  <c r="J221"/>
  <c r="J213"/>
  <c r="J210"/>
  <c r="J206"/>
  <c r="J207"/>
  <c r="J205"/>
  <c r="J202"/>
  <c r="J201"/>
  <c r="J194"/>
  <c r="J195"/>
  <c r="J197"/>
  <c r="J193"/>
  <c r="J190"/>
  <c r="J164"/>
  <c r="J161"/>
  <c r="J162"/>
  <c r="J163"/>
  <c r="J160"/>
  <c r="J154"/>
  <c r="J155"/>
  <c r="J156"/>
  <c r="J157"/>
  <c r="J146"/>
  <c r="J144"/>
  <c r="J166"/>
  <c r="G196"/>
  <c r="J196" s="1"/>
  <c r="G153"/>
  <c r="J153" s="1"/>
  <c r="J168"/>
  <c r="I165"/>
  <c r="J73" i="2"/>
  <c r="I218" i="1"/>
  <c r="I215"/>
  <c r="I214"/>
  <c r="I220" i="9" l="1"/>
  <c r="J220" s="1"/>
  <c r="I220" i="8"/>
  <c r="J220" s="1"/>
  <c r="I216" i="9"/>
  <c r="J216" s="1"/>
  <c r="I216" i="8"/>
  <c r="J216" s="1"/>
  <c r="I176" i="9"/>
  <c r="J176" s="1"/>
  <c r="J168" s="1"/>
  <c r="I176" i="8"/>
  <c r="J176" s="1"/>
  <c r="J168" s="1"/>
  <c r="I217" i="9"/>
  <c r="J217" s="1"/>
  <c r="L217" s="1"/>
  <c r="I217" i="8"/>
  <c r="J217" s="1"/>
  <c r="L217" s="1"/>
  <c r="J165" i="1"/>
  <c r="J214"/>
  <c r="J215"/>
  <c r="J200"/>
  <c r="J265"/>
  <c r="J241"/>
  <c r="J315"/>
  <c r="J321" s="1"/>
  <c r="J376"/>
  <c r="J226"/>
  <c r="K126" i="2"/>
  <c r="K125"/>
  <c r="K124"/>
  <c r="K123"/>
  <c r="K122"/>
  <c r="K121"/>
  <c r="K117"/>
  <c r="K114"/>
  <c r="K113"/>
  <c r="K110"/>
  <c r="K109"/>
  <c r="K108"/>
  <c r="K107"/>
  <c r="K106"/>
  <c r="K105"/>
  <c r="K104"/>
  <c r="K103"/>
  <c r="K102"/>
  <c r="K101"/>
  <c r="K100"/>
  <c r="K99"/>
  <c r="K98"/>
  <c r="K97"/>
  <c r="K96"/>
  <c r="K95"/>
  <c r="K94"/>
  <c r="K91"/>
  <c r="K90"/>
  <c r="K89"/>
  <c r="K88"/>
  <c r="K87"/>
  <c r="K86"/>
  <c r="K85"/>
  <c r="K84"/>
  <c r="K83"/>
  <c r="K82"/>
  <c r="K81"/>
  <c r="K80"/>
  <c r="K79"/>
  <c r="H76"/>
  <c r="K76" s="1"/>
  <c r="K75"/>
  <c r="H74"/>
  <c r="K74" s="1"/>
  <c r="H70"/>
  <c r="H73" s="1"/>
  <c r="K67"/>
  <c r="K66"/>
  <c r="K65"/>
  <c r="K62"/>
  <c r="K61" s="1"/>
  <c r="K59"/>
  <c r="K58"/>
  <c r="K57"/>
  <c r="K54"/>
  <c r="K53"/>
  <c r="H50"/>
  <c r="K50" s="1"/>
  <c r="K49"/>
  <c r="H48"/>
  <c r="K48" s="1"/>
  <c r="K47"/>
  <c r="K46"/>
  <c r="K45"/>
  <c r="K42"/>
  <c r="K41" s="1"/>
  <c r="K35"/>
  <c r="K33"/>
  <c r="K32"/>
  <c r="K31"/>
  <c r="K30"/>
  <c r="K27"/>
  <c r="K26"/>
  <c r="K25"/>
  <c r="K23"/>
  <c r="K22"/>
  <c r="K21"/>
  <c r="K20"/>
  <c r="H19"/>
  <c r="K19" s="1"/>
  <c r="H16"/>
  <c r="K16" s="1"/>
  <c r="K15" s="1"/>
  <c r="H13"/>
  <c r="K13" s="1"/>
  <c r="K12"/>
  <c r="H11"/>
  <c r="K11" s="1"/>
  <c r="K10"/>
  <c r="K7"/>
  <c r="K6" s="1"/>
  <c r="L216" i="8" l="1"/>
  <c r="J214"/>
  <c r="L336" s="1"/>
  <c r="G336"/>
  <c r="J336" s="1"/>
  <c r="L216" i="9"/>
  <c r="G336"/>
  <c r="J336" s="1"/>
  <c r="J214"/>
  <c r="L336" s="1"/>
  <c r="J184" i="8"/>
  <c r="L327"/>
  <c r="J219"/>
  <c r="G337"/>
  <c r="J337" s="1"/>
  <c r="L220"/>
  <c r="M279" s="1"/>
  <c r="L327" i="9"/>
  <c r="J184"/>
  <c r="L220"/>
  <c r="J219"/>
  <c r="G337"/>
  <c r="J337" s="1"/>
  <c r="K64" i="2"/>
  <c r="K52"/>
  <c r="J322" i="1"/>
  <c r="N380"/>
  <c r="H376"/>
  <c r="H380" s="1"/>
  <c r="J380"/>
  <c r="K56" i="2"/>
  <c r="K120"/>
  <c r="K24"/>
  <c r="K78"/>
  <c r="K9"/>
  <c r="K44"/>
  <c r="K18"/>
  <c r="K93"/>
  <c r="K70"/>
  <c r="H118"/>
  <c r="K118" s="1"/>
  <c r="K116" s="1"/>
  <c r="K73"/>
  <c r="G220" i="1"/>
  <c r="J220" s="1"/>
  <c r="G218"/>
  <c r="G198"/>
  <c r="J198" s="1"/>
  <c r="N327" i="8" l="1"/>
  <c r="L337" i="9"/>
  <c r="L349" s="1"/>
  <c r="N327"/>
  <c r="M279"/>
  <c r="J281" s="1"/>
  <c r="J310" s="1"/>
  <c r="J311" s="1"/>
  <c r="L281"/>
  <c r="J312" s="1"/>
  <c r="L337" i="8"/>
  <c r="L349" s="1"/>
  <c r="J281"/>
  <c r="J310" s="1"/>
  <c r="J311" s="1"/>
  <c r="L281"/>
  <c r="J312" s="1"/>
  <c r="K69" i="2"/>
  <c r="K127" s="1"/>
  <c r="G219" i="1"/>
  <c r="J218"/>
  <c r="K38" i="2"/>
  <c r="I313" i="8" l="1"/>
  <c r="J315"/>
  <c r="J314"/>
  <c r="F357" s="1"/>
  <c r="N317" i="9"/>
  <c r="I313"/>
  <c r="F355"/>
  <c r="J314"/>
  <c r="F357" s="1"/>
  <c r="J315"/>
  <c r="F358" s="1"/>
  <c r="I327"/>
  <c r="I349" s="1"/>
  <c r="G327"/>
  <c r="H327"/>
  <c r="H349" s="1"/>
  <c r="G327" i="8"/>
  <c r="G349" s="1"/>
  <c r="H327"/>
  <c r="H349" s="1"/>
  <c r="I327"/>
  <c r="K128" i="2"/>
  <c r="K130" s="1"/>
  <c r="G263" i="1"/>
  <c r="J263" s="1"/>
  <c r="J219"/>
  <c r="J351"/>
  <c r="G224"/>
  <c r="J224" s="1"/>
  <c r="J209"/>
  <c r="J345" s="1"/>
  <c r="J189"/>
  <c r="J341" s="1"/>
  <c r="J167"/>
  <c r="J338" s="1"/>
  <c r="G150"/>
  <c r="G147"/>
  <c r="J147" s="1"/>
  <c r="G145"/>
  <c r="J145" s="1"/>
  <c r="J140"/>
  <c r="J327" i="9" l="1"/>
  <c r="G349"/>
  <c r="K316"/>
  <c r="F356"/>
  <c r="F359" s="1"/>
  <c r="J150" i="1"/>
  <c r="J149" s="1"/>
  <c r="J335" s="1"/>
  <c r="J212"/>
  <c r="J346" s="1"/>
  <c r="J349"/>
  <c r="J348"/>
  <c r="J192"/>
  <c r="J342" s="1"/>
  <c r="J217"/>
  <c r="J343"/>
  <c r="J204"/>
  <c r="J344" s="1"/>
  <c r="J261"/>
  <c r="J350" s="1"/>
  <c r="J152"/>
  <c r="J336" s="1"/>
  <c r="J143"/>
  <c r="J334" s="1"/>
  <c r="J349" i="9" l="1"/>
  <c r="J347" i="1"/>
  <c r="J275"/>
  <c r="J333"/>
  <c r="H350" i="9" l="1"/>
  <c r="I350"/>
  <c r="G350"/>
  <c r="L167" i="1"/>
  <c r="J350" i="9" l="1"/>
  <c r="J159" i="1"/>
  <c r="J337" s="1"/>
  <c r="J353" l="1"/>
  <c r="F360" s="1"/>
  <c r="F388"/>
  <c r="J170"/>
  <c r="J317" s="1"/>
  <c r="N354" l="1"/>
  <c r="H354" s="1"/>
  <c r="H348" s="1"/>
  <c r="J318"/>
  <c r="L166"/>
  <c r="H338" l="1"/>
  <c r="H346"/>
  <c r="H335"/>
  <c r="H333"/>
  <c r="H341"/>
  <c r="H349"/>
  <c r="H336"/>
  <c r="H343"/>
  <c r="H350"/>
  <c r="H345"/>
  <c r="H334"/>
  <c r="H347"/>
  <c r="H344"/>
  <c r="I354"/>
  <c r="I351" s="1"/>
  <c r="H342"/>
  <c r="H351"/>
  <c r="H337"/>
  <c r="I333" l="1"/>
  <c r="I347"/>
  <c r="I337"/>
  <c r="I336"/>
  <c r="I349"/>
  <c r="I338"/>
  <c r="I343"/>
  <c r="I344"/>
  <c r="I341"/>
  <c r="K354"/>
  <c r="I334"/>
  <c r="I348"/>
  <c r="I346"/>
  <c r="I345"/>
  <c r="H353"/>
  <c r="F358" s="1"/>
  <c r="I342"/>
  <c r="I335"/>
  <c r="I350"/>
  <c r="I353" l="1"/>
  <c r="F359" s="1"/>
  <c r="K353"/>
  <c r="M352" l="1"/>
  <c r="O335"/>
  <c r="O336" l="1"/>
  <c r="F386"/>
  <c r="H381"/>
  <c r="I381" l="1"/>
  <c r="J338" i="8" l="1"/>
  <c r="J326" l="1"/>
  <c r="I328"/>
  <c r="J328" s="1"/>
  <c r="J341"/>
  <c r="J339"/>
  <c r="J333"/>
  <c r="I340"/>
  <c r="J340" s="1"/>
  <c r="J327"/>
  <c r="I349" l="1"/>
  <c r="J349" s="1"/>
  <c r="J323"/>
  <c r="I350" l="1"/>
  <c r="H350"/>
  <c r="G350"/>
  <c r="J350" l="1"/>
  <c r="F355"/>
  <c r="F356"/>
  <c r="F358" l="1"/>
  <c r="F359" s="1"/>
  <c r="N317"/>
  <c r="K316" l="1"/>
</calcChain>
</file>

<file path=xl/comments1.xml><?xml version="1.0" encoding="utf-8"?>
<comments xmlns="http://schemas.openxmlformats.org/spreadsheetml/2006/main">
  <authors>
    <author>Andre</author>
  </authors>
  <commentList>
    <comment ref="B144" authorId="0">
      <text>
        <r>
          <rPr>
            <b/>
            <sz val="9"/>
            <color indexed="81"/>
            <rFont val="Tahoma"/>
            <family val="2"/>
          </rPr>
          <t xml:space="preserve">10,09Kg/m²
</t>
        </r>
      </text>
    </comment>
  </commentList>
</comments>
</file>

<file path=xl/comments2.xml><?xml version="1.0" encoding="utf-8"?>
<comments xmlns="http://schemas.openxmlformats.org/spreadsheetml/2006/main">
  <authors>
    <author>Andre</author>
  </authors>
  <commentList>
    <comment ref="C10" authorId="0">
      <text>
        <r>
          <rPr>
            <b/>
            <sz val="9"/>
            <color indexed="81"/>
            <rFont val="Tahoma"/>
            <family val="2"/>
          </rPr>
          <t xml:space="preserve">10,09Kg/m²
</t>
        </r>
      </text>
    </comment>
  </commentList>
</comments>
</file>

<file path=xl/sharedStrings.xml><?xml version="1.0" encoding="utf-8"?>
<sst xmlns="http://schemas.openxmlformats.org/spreadsheetml/2006/main" count="3846" uniqueCount="705">
  <si>
    <t>3º Item – DADOS CADASTRAIS DA PREFEITURA MUNICIPAL  (Conveniada)</t>
  </si>
  <si>
    <t>4º Item – PREFEITO(A) MUNICIPAL</t>
  </si>
  <si>
    <t xml:space="preserve">14) email                                                              </t>
  </si>
  <si>
    <t>5º Item – ENGENHEIRO OU ARQUITETO (Atual)</t>
  </si>
  <si>
    <t>6º Item – LOCAL DE REALIZAÇÃO DA OBRA (Atual)</t>
  </si>
  <si>
    <t xml:space="preserve">7º Item – MEMORIAL DESCRITIVO </t>
  </si>
  <si>
    <t>27)</t>
  </si>
  <si>
    <t xml:space="preserve">28) </t>
  </si>
  <si>
    <t>Item</t>
  </si>
  <si>
    <t xml:space="preserve"> 29) </t>
  </si>
  <si>
    <t>Especificação de Serviço</t>
  </si>
  <si>
    <t>8º Item – PLANO DE APLICAÇÃO DOS RECURSOS  (Planilha Orçamentária)</t>
  </si>
  <si>
    <t xml:space="preserve">31)       </t>
  </si>
  <si>
    <t xml:space="preserve">32)       </t>
  </si>
  <si>
    <t xml:space="preserve">                Preencher a tabela abaixo, detalhadamente.</t>
  </si>
  <si>
    <t>34)</t>
  </si>
  <si>
    <t>35)</t>
  </si>
  <si>
    <t>36)</t>
  </si>
  <si>
    <t>Valor Unitário</t>
  </si>
  <si>
    <t>37)</t>
  </si>
  <si>
    <t>VALOR TOTAL</t>
  </si>
  <si>
    <t>TOTAL GERAL</t>
  </si>
  <si>
    <t>38)</t>
  </si>
  <si>
    <t>ESTADO</t>
  </si>
  <si>
    <t>39)</t>
  </si>
  <si>
    <t>PREFEITURA MUNICIPAL</t>
  </si>
  <si>
    <t>40)</t>
  </si>
  <si>
    <t>41)</t>
  </si>
  <si>
    <t>A Especificação de Serviço do campo “33” deve ser transcrita literalmente como preenchida no campo “29”.</t>
  </si>
  <si>
    <t>9º Item – CRONOGRAMA FÍSICO-FINANCEIRO  (Estado / Prefeitura Municipal)</t>
  </si>
  <si>
    <t>Participação em Percentual</t>
  </si>
  <si>
    <t>10º Item – CRONOGRAMA DE RECURSOS  (Estado / Prefeitura Municipal)</t>
  </si>
  <si>
    <t>Participantes</t>
  </si>
  <si>
    <t>11º Item – PREVISÃO DE INÍCIO E FIM DA EXECUÇÃO DO OBJETO  (MODELOS)</t>
  </si>
  <si>
    <t>12º Item – COMPROVAÇÃO DE QUE A CONVENIADA DISPÕE DE RECURSOS PRÓPRIOS PARA COMPLEMENTAR A EXECUÇÃO DO OBJETO – CONTRAPARTIDA  (MODELOS)</t>
  </si>
  <si>
    <t xml:space="preserve">13º Item – ASSINATURAS </t>
  </si>
  <si>
    <t>SERVIÇOS PRELIMINARES</t>
  </si>
  <si>
    <t>1.1</t>
  </si>
  <si>
    <t>m2</t>
  </si>
  <si>
    <t>1.2</t>
  </si>
  <si>
    <t>Escavação em valas mecanizada</t>
  </si>
  <si>
    <t>M3</t>
  </si>
  <si>
    <t>INFRAESTRUTURA</t>
  </si>
  <si>
    <t>2.2</t>
  </si>
  <si>
    <t>Armadura em tela soldada de aço</t>
  </si>
  <si>
    <t>2.4</t>
  </si>
  <si>
    <t>Concreto usinado, fck = 20,0 MPa - para bombeamento</t>
  </si>
  <si>
    <t>2.5</t>
  </si>
  <si>
    <t>2.6</t>
  </si>
  <si>
    <t>Broca em concreto armado diâmetro de 20 cm - completa</t>
  </si>
  <si>
    <t>kg</t>
  </si>
  <si>
    <t>m3</t>
  </si>
  <si>
    <t>m</t>
  </si>
  <si>
    <t>ALVENARIA EM BLOCOS DE CONCRETO</t>
  </si>
  <si>
    <t>3.1</t>
  </si>
  <si>
    <t>Alvenaria de bloco de concreto extrutural, uso revestido, 14cm</t>
  </si>
  <si>
    <t>Forma em madeira comum para fundação</t>
  </si>
  <si>
    <t>Grade de segurança em aço SAE 1045, diâmetro 1´, sem têmpera e revenimento</t>
  </si>
  <si>
    <t>4.1</t>
  </si>
  <si>
    <t>4.2</t>
  </si>
  <si>
    <t>4.3</t>
  </si>
  <si>
    <t>4.4</t>
  </si>
  <si>
    <t>4.5</t>
  </si>
  <si>
    <t>SUPER ESTRUTURA-VIGAS E PILARES</t>
  </si>
  <si>
    <t>M2</t>
  </si>
  <si>
    <t>Chapisco</t>
  </si>
  <si>
    <t>Emboço comum</t>
  </si>
  <si>
    <t>Revestimento em placa cerâmica esmaltada para paredes de 20 x 20 cm, assentado com argamassa AC-I colante industrializada</t>
  </si>
  <si>
    <t>Piso com requadro em concreto simples com controle de fck= 20 Mpa</t>
  </si>
  <si>
    <t>Revestimento piso externo em pedra são tomé-retalhos</t>
  </si>
  <si>
    <t>Rejuntamento de cerâmica esmaltada de 20 x 20 cm com argamassa industrializada para rejunte, juntas até 3 mm</t>
  </si>
  <si>
    <t>5.1</t>
  </si>
  <si>
    <t>5.2</t>
  </si>
  <si>
    <t>5.3</t>
  </si>
  <si>
    <t>5.4</t>
  </si>
  <si>
    <t>5.5</t>
  </si>
  <si>
    <t>5.6</t>
  </si>
  <si>
    <t>5.7</t>
  </si>
  <si>
    <t>REVESTIMENTO</t>
  </si>
  <si>
    <t>Filtro FVP 120 Sodramar,moto bomba BMS 300 3 cv acessórios e instalação</t>
  </si>
  <si>
    <t>unid</t>
  </si>
  <si>
    <t>6.1</t>
  </si>
  <si>
    <t>FILTRO/MOTO BOMBA</t>
  </si>
  <si>
    <t>Locação de obra de edificação</t>
  </si>
  <si>
    <t>2.1</t>
  </si>
  <si>
    <t>Escavação manual em solo de 1ª e 2ª categoria em vala ou cava até 1,50 m</t>
  </si>
  <si>
    <t>Lastro de pedra britada</t>
  </si>
  <si>
    <t>Armadura em barra de aço CA-50 (A ou B) fyk= 500 Mpa</t>
  </si>
  <si>
    <t>2.7</t>
  </si>
  <si>
    <t>Concreto usinado, fck = 20,0 Mpa</t>
  </si>
  <si>
    <t>Lançamento e adensamento de concreto ou massa em fundação</t>
  </si>
  <si>
    <t>INFRA ESTRUTURA</t>
  </si>
  <si>
    <t>m³</t>
  </si>
  <si>
    <t>Regularização e compactação mecanizada de superfície, sem controle do proctor normal</t>
  </si>
  <si>
    <t>Piso com requadro em concreto simples sem controle de fck</t>
  </si>
  <si>
    <t>3.2</t>
  </si>
  <si>
    <t>m²</t>
  </si>
  <si>
    <t>3.3</t>
  </si>
  <si>
    <t>ALVENARIA DE FECHAMENTO E ESTRUTURA</t>
  </si>
  <si>
    <t>Vergas, contravergas e pilaretes de concreto armado</t>
  </si>
  <si>
    <t>LAJE PRE TRELIÇA FORRO</t>
  </si>
  <si>
    <t>Laje pré-fabricada mista vigota treliçada/lajota cerâmica - LT 12 (8+4) e capa com concreto de 20MPa</t>
  </si>
  <si>
    <t>MADEIRAMENTO E COBERTURA</t>
  </si>
  <si>
    <t>Estrutura de madeira tesourada para telha de barro - vãos até 7,00 m</t>
  </si>
  <si>
    <t>6.2</t>
  </si>
  <si>
    <t>Telha de barro tipo romana</t>
  </si>
  <si>
    <t>6.3</t>
  </si>
  <si>
    <t>Cumeeira de barro emboçado tipos: plan, romana, italiana, francesa e paulistinha</t>
  </si>
  <si>
    <t>7.1</t>
  </si>
  <si>
    <t>7.2</t>
  </si>
  <si>
    <t>7.3</t>
  </si>
  <si>
    <t>Piso cerâmico esmaltado antiderrapante PEI-5 resistência química A, para áreas internas com saída para o exterior, assentado com argamassa mista</t>
  </si>
  <si>
    <t>7.4</t>
  </si>
  <si>
    <t>Revestimento em placa cerâmica esmaltada para paredes de 15 x 15 cm, assentado com argamassa colante industrializada</t>
  </si>
  <si>
    <t>7.5</t>
  </si>
  <si>
    <t>Rejuntamento de placa cerâmica de 15 x 15 cm com cimento branco, juntas até 3 mm</t>
  </si>
  <si>
    <t>INSTALAÇÃO ELÉTRICA</t>
  </si>
  <si>
    <t>8.1</t>
  </si>
  <si>
    <t>Quadro de distribuição universal de embutir, para disjuntores 34 DIN / 24 Bolt-on - 150 A - sem componentes</t>
  </si>
  <si>
    <t>8.2</t>
  </si>
  <si>
    <t>Barramento de cobre nu</t>
  </si>
  <si>
    <t>8.3</t>
  </si>
  <si>
    <t>Caixa em PVC de 4´ x 2´</t>
  </si>
  <si>
    <t>8.4</t>
  </si>
  <si>
    <t>Caixa em PVC de 4´ x 4´</t>
  </si>
  <si>
    <t>8.5</t>
  </si>
  <si>
    <t>Eletroduto de PVC corrugado flexível leve, diâmetro externo de 25 mm</t>
  </si>
  <si>
    <t>8.7</t>
  </si>
  <si>
    <t>Eletroduto de PVC corrugado flexível reforçado, diâmetro externo de 32 mm</t>
  </si>
  <si>
    <t>8.8</t>
  </si>
  <si>
    <t>Cabo de cobre de 1,5 mm², isolamento 750 V - isolação em PVC 70°C</t>
  </si>
  <si>
    <t>8.9</t>
  </si>
  <si>
    <t>Cabo de cobre de 2,5 mm², isolamento 750 V - isolação em PVC 70°C</t>
  </si>
  <si>
    <t>8.10</t>
  </si>
  <si>
    <t>Cabo de cobre de 4 mm², isolamento 750 V - isolação em PVC 70°C</t>
  </si>
  <si>
    <t>8.12</t>
  </si>
  <si>
    <t>Cabo de cobre de 16 mm², isolamento 750 V - isolação em PVC 70°C</t>
  </si>
  <si>
    <t>8.13</t>
  </si>
  <si>
    <t>Disjuntor termomagnético, unipolar 127/220 V, corrente de 10 A até 30 A</t>
  </si>
  <si>
    <t>8.15</t>
  </si>
  <si>
    <t>Interruptor com 1 tecla paralelo e placa</t>
  </si>
  <si>
    <t>8.16</t>
  </si>
  <si>
    <t>Tomada 2P+T de 10 A - 250 V, completa</t>
  </si>
  <si>
    <t>INSTALAÇÃO HIDRAÚLICA</t>
  </si>
  <si>
    <t>9.1</t>
  </si>
  <si>
    <t>9.2</t>
  </si>
  <si>
    <t>Tubo de PVC rígido, DN= 50 mm, (1 1/2´), inclusive conexões</t>
  </si>
  <si>
    <t>9.3</t>
  </si>
  <si>
    <t>Registro de gaveta em latão fundido sem acabamento, DN= 1 1/2´</t>
  </si>
  <si>
    <t>9.4</t>
  </si>
  <si>
    <t>Torneira de bóia, DN= 3/4´</t>
  </si>
  <si>
    <t>9.5</t>
  </si>
  <si>
    <t>Tubo de PVC rígido, DN= 25 mm, (3/4´), inclusive conexões</t>
  </si>
  <si>
    <t>9.6</t>
  </si>
  <si>
    <t>Registro de gaveta em latão fundido cromado com canopla, DN= 1 1/2´ - linha especial</t>
  </si>
  <si>
    <t>9.7</t>
  </si>
  <si>
    <t>Registro de pressão em latão fundido cromado com canopla, DN= 3/4´ - linha especial</t>
  </si>
  <si>
    <t>9.10</t>
  </si>
  <si>
    <t>Torneira para lavatório em latão fundido cromado, DN= 1/2´</t>
  </si>
  <si>
    <t>9.11</t>
  </si>
  <si>
    <t>Caixa sifonada de PVC rígido de 100 x 150 x 50 mm, com grelha</t>
  </si>
  <si>
    <t>9.13</t>
  </si>
  <si>
    <t>Tubo de PVC rígido, PxB com anel de borracha, DN= 100 mm, inclusive conexões</t>
  </si>
  <si>
    <t>9.14</t>
  </si>
  <si>
    <t xml:space="preserve">Tubo de PVC rígido, PxB com anel de borracha, DN= 50 mm, inclusive conexões </t>
  </si>
  <si>
    <t>Porta lisa com batente em alumínio, largura 92 cm, altura de 105 a 200 cm</t>
  </si>
  <si>
    <t>9.16</t>
  </si>
  <si>
    <t>Bacia sifonada com caixa de descarga acoplada sem tampa - 6 litros</t>
  </si>
  <si>
    <t>9.17</t>
  </si>
  <si>
    <t>Lavatório de louça com coluna</t>
  </si>
  <si>
    <t>9.18</t>
  </si>
  <si>
    <t>Mictório de louça sifonado auto aspirante</t>
  </si>
  <si>
    <t>9.19</t>
  </si>
  <si>
    <t>Bacia sifonada de louça sem tampa, para pessoas com mobilidade reduzida - 6 litros</t>
  </si>
  <si>
    <t>9.20</t>
  </si>
  <si>
    <t>Lavatório de louça para canto sem coluna para pessoas com mobilidade reduzida</t>
  </si>
  <si>
    <t>9.21</t>
  </si>
  <si>
    <t>Barra de apoio reta, para pessoas com mobilidade reduzida, em tubo de alumínio, comprimento de 800 mm, acabamento com pintura epóxi</t>
  </si>
  <si>
    <t>9.23</t>
  </si>
  <si>
    <t>chuveiro elétrico 5500w/220v  PVC</t>
  </si>
  <si>
    <t>Ferragem completa com maçaneta tipo alavanca para porta externa com 1 folha</t>
  </si>
  <si>
    <t>Porta lisa com batente metálico - 92 x 210 cm</t>
  </si>
  <si>
    <t>Divisória em placas de granilite com espessura de 3 cm</t>
  </si>
  <si>
    <t>Porta lisa com batente em alumínio, largura 62 cm, altura de 105 a 200 cm</t>
  </si>
  <si>
    <t>9.8</t>
  </si>
  <si>
    <t>9.9</t>
  </si>
  <si>
    <t>9.12</t>
  </si>
  <si>
    <t>9.15</t>
  </si>
  <si>
    <t>9.22</t>
  </si>
  <si>
    <t>um</t>
  </si>
  <si>
    <t>PINTURA</t>
  </si>
  <si>
    <t>10.3</t>
  </si>
  <si>
    <t>Esmalte em superficio de madeira inclusi preparo</t>
  </si>
  <si>
    <t>Tinta acrílica em massa, inclusive preparo</t>
  </si>
  <si>
    <t>10.1</t>
  </si>
  <si>
    <t>ESQUADRIAS</t>
  </si>
  <si>
    <t>Vidro temperado incolor de 8 mm</t>
  </si>
  <si>
    <t>11.1</t>
  </si>
  <si>
    <t xml:space="preserve">45)  Parcela Única     </t>
  </si>
  <si>
    <t>48) TOTAL</t>
  </si>
  <si>
    <t>46) Estado</t>
  </si>
  <si>
    <t>47) Prefeitura Municipal</t>
  </si>
  <si>
    <t>44) Unidade</t>
  </si>
  <si>
    <t>43) Especificações de Serviços</t>
  </si>
  <si>
    <t>ITEM</t>
  </si>
  <si>
    <t>PISCINA ADULTO E INFANTIL</t>
  </si>
  <si>
    <t>SUPER ESTRUTURA - VIGAS E PILARES</t>
  </si>
  <si>
    <t>CONTRAPISO EM CONCRETO INT/EXT</t>
  </si>
  <si>
    <t xml:space="preserve">REVESTIMENTO </t>
  </si>
  <si>
    <t>INSTALAÇÃO HIDRÁULICA</t>
  </si>
  <si>
    <t xml:space="preserve">                                                      VESTIARIO MASC. E FEM.</t>
  </si>
  <si>
    <t>49) Parcela Única</t>
  </si>
  <si>
    <t>50) TOTAL (ESTADO + PREFEITURA MUNICIPAL)</t>
  </si>
  <si>
    <t>PLANO DE TRABALHO  - OBRAS</t>
  </si>
  <si>
    <t>ADITAMENTO</t>
  </si>
  <si>
    <t>PREFEITURA MUNICIPAL DE PARANAPANEMA</t>
  </si>
  <si>
    <t>1) CONSTRUÇÃO DE PISCINA SEMI-OLIMPICA</t>
  </si>
  <si>
    <t>2) Nome:  Prefeitura Municipal da Estância Turística de Paranapanema</t>
  </si>
  <si>
    <t>3) CNPJ: 46.634.309/0001-34</t>
  </si>
  <si>
    <t>4) Endereço: Rua Capitão Pinto de Melo</t>
  </si>
  <si>
    <t>5) Nº: 485</t>
  </si>
  <si>
    <t>6) CEP: 18720-000</t>
  </si>
  <si>
    <t>7) DDD 14</t>
  </si>
  <si>
    <t>8) Telefone: 3713-9222</t>
  </si>
  <si>
    <t>9) Fax: 3713-9222</t>
  </si>
  <si>
    <t>11) RG: 12.149.021-X</t>
  </si>
  <si>
    <t>12) CPF: 053.356.528-61</t>
  </si>
  <si>
    <t xml:space="preserve">13) Período do Mandato                                                                                                                                                                                                                                                                               </t>
  </si>
  <si>
    <t>prefeito2013@paranapanema.sp.gov.br</t>
  </si>
  <si>
    <t>25) Endereço do local da obra: Rua Benedito de Oliveira Melo, s/n</t>
  </si>
  <si>
    <t>26) Respectivo nº da matrícula do imóvel: 36.631</t>
  </si>
  <si>
    <t>A Empreiteira é responsável pela apresentação de todos os projetos executivos antes do início das atividades. Os materiais tais como, tomadas, interruptores, portas, ferragens, tanque, etc deverão ser aprovados pela contratante antes da instalação.</t>
  </si>
  <si>
    <t xml:space="preserve">Descrição do Serviço </t>
  </si>
  <si>
    <t>LOCAÇÃO DA OBRA</t>
  </si>
  <si>
    <t xml:space="preserve">As fundações serão brocas de concreto armado de 20cm de diâmetro, com profundidade mínima de 3,0 metros, ou conforme projeto elaborado pela contratada, dependendo das condições do solo do local. </t>
  </si>
  <si>
    <t>FUNDAÇÕES</t>
  </si>
  <si>
    <t>ESCAVAÇÃO MANUAL E MECANIZADA DE SOLO</t>
  </si>
  <si>
    <t xml:space="preserve">Deverão ser executadas as escavações necessárias para a realização da obra, ou seja, escavações para a execução da fundação e da piscina propriamente dita.
Após a escavação o fundo da piscina e da fundação deverá ser devidamente regularizado e compactado.
</t>
  </si>
  <si>
    <t>Antes do lançamento do concreto e da colocação da armadura no fundo da cava, a mesma deverá conter um lastro de brita de 3 (três) cm de espessura, devendo abranger toda a área da piscina.</t>
  </si>
  <si>
    <t>LASTRO DE BRITA</t>
  </si>
  <si>
    <t>2.3</t>
  </si>
  <si>
    <t>ARMAÇÃO</t>
  </si>
  <si>
    <t>A ferragem que vem das brocas deverá ser contínua nos pilares da piscina, passando por dentro da viga de fundo e finalizando engastada na viga superior.</t>
  </si>
  <si>
    <t>BOTA - FORA DE MATERIAL EXCEDENTE</t>
  </si>
  <si>
    <t>Todo entulho e materiais excedentes deverão ser removidos para bota-fora, distantes do local da obra, escolhido pela Empreiteira, não cabendo qualquer responsabilidade da Prefeitura sobre o local escolhido.</t>
  </si>
  <si>
    <t>CONCRETO</t>
  </si>
  <si>
    <t>ESTRUTURA</t>
  </si>
  <si>
    <t>A estrutura da piscina será composta por uma laje de fundo, com viga de fundo, viga intermediária e viga de borda em todo seu contorno, devidamente amarrada nos pilares, conforme projeto.</t>
  </si>
  <si>
    <t>FORMA DE MADEIRA</t>
  </si>
  <si>
    <t xml:space="preserve">As formas de vigas e pilares deverão ser de tábua comum ou chapa de compensado tipo madeirite, as quais deverão ter  as amarrações e os escoramentos necessários para não sofrerem deslocamentos ou deformações quando do lançamento do concreto, fazendo com que por ocasião da desforma reproduza uma estrutura perfeita e alinhada.
Na retirada das formas deve se evitar choques mecânicos.
A execução das formas e seus escoramentos deverão garantir nivelamento, prumo, esquadro, paralelismo, alinhamento das peças e impedir o aparecimento de ondulações na superfície pronta do concreto.
</t>
  </si>
  <si>
    <t>ARMAÇÃO DE AÇO CA-50A OU CA-60A</t>
  </si>
  <si>
    <t>A execução das armaduras deverá obedecer a uma taxa de 80 a 100 kg de aço por m³ de concreto utilizado. Por se tratar de uma obra "enterrada", em que a estrutura está em constante contato com o solo, o recobrimento mínimo das armaduras nunca poderá ser inferior a 2,5 cm.  Deverá ser usado espaçadores para este fim.</t>
  </si>
  <si>
    <t>ALVENARIA</t>
  </si>
  <si>
    <t xml:space="preserve">As alvenarias apresentarão prumo e alinhamentos perfeitos, fiadas niveladas e com espessura das juntas compatíveis com os materiais utilizados.  Os elementos de alvenaria que absorvem água deverão ser molhados por ocasião do seu emprego, e no respaldo de alvenaria não encunhado será executada cinta de concreto armado.
Serão utilizados blocos de concreto estrutural 14x19x39cm, assentados com  argamassa de cimento e areia , na posição de "uma vez".  
</t>
  </si>
  <si>
    <t>IMPERMEABILIZAÇÃO</t>
  </si>
  <si>
    <t>REVESTIMENTOS</t>
  </si>
  <si>
    <t>CHAPISCO</t>
  </si>
  <si>
    <t>Todas as superfícies das novas instalações deverão ser emboçadas e rebocadas. O emboço/reboco só serão iniciados após a completa pega dos chapiscos, sua espessura mínima será de 20 mm.  Este deverá ser prumado, alinhado e taliscado, para que possa apresentar aspecto uniforme com parâmetros perfeitamente planos, não sendo tolerada qualquer ondulação ou desigualdade do alinhamento da superfície.</t>
  </si>
  <si>
    <t>EMBOÇO/REBOCO</t>
  </si>
  <si>
    <t>Na área externa, ao redor das piscinas, o piso será em pedras São Tomé.</t>
  </si>
  <si>
    <t>PISO</t>
  </si>
  <si>
    <t>INSTALAÇÕES HIDRÁULICAS</t>
  </si>
  <si>
    <t>Além de toda tubulação necessária para a operação e higienização da piscina, deverá ser instalado um conjunto de Filtro FVP 120 Sodramar,moto bomba BMS 300 3 cv acessórios e instalação, ou similar.</t>
  </si>
  <si>
    <t>INSTALAÇÕES ELÉTRICAS</t>
  </si>
  <si>
    <t>ELETRODUTOS E CONDUTORES</t>
  </si>
  <si>
    <t>LIMPEZA GERAL DA OBRA</t>
  </si>
  <si>
    <t>VESTIARIOS MASC. E FEM.</t>
  </si>
  <si>
    <t xml:space="preserve">As fundações serão compostas por vigas baldrame de concreto armado apoiadas sobre brocas de concreto armado de 20cm de diâmetro, com profundidade mínima de 3,0 metros dependendo das condições do solo do local. Deve ser tomado cuidado para que a armadura das vigas baldrame não fiquem diretamente em contato com o solo.
Todos os cruzamentos de paredes e vãos que excederem 3,0m (três metros) deverão existir brocas como as descritas acima.
</t>
  </si>
  <si>
    <t xml:space="preserve">Deverão ser executadas as escavações necessárias para a realização da obra, ou seja, escavações para alicerce, baldrame em vigas de concreto armado.
- Apiloamento do fundo das cavas
Após a escavação deverá ser efetuado enérgico e vigoroso apiloamento por processos manuais.
</t>
  </si>
  <si>
    <t>Antes do lançamento do concreto e da colocação da armadura no fundo da cava, a mesma deverá conter um lastro de brita de 3 (três) cm de espessura, devendo abranger toda a área de vigas baldrame.</t>
  </si>
  <si>
    <t>No cruzamento dos baldrames e vãos superiores a 3,0m, deverão existir arranques para os pilares da estrutura, arranques estes engastados nos baldrames e encimados às brocas.</t>
  </si>
  <si>
    <t>No respaldo da alvenaria e na altura de 1,10m deverão ser executadas vigas de travamento de concreto armado na dimensão 14 x 20 cm em toda a extensão amarrada aos pilares.  Os encontros de paredes e vãos superiores a 3,00 metros terão colunas de concreto armado até o respaldo da alvenaria. As instalações deverão conter pilares, vigas e lajes de concreto armado.</t>
  </si>
  <si>
    <t>A execução das armaduras deverá obedecer a uma taxa de 80 a 100 kg de aço por m³ de concreto utilizado. O recobrimento mínimo das armaduras nunca poderá ser inferior a 2 cm, sendo o ideal 2,5 cm.  Deverá ser usado espaçadores para este fim.</t>
  </si>
  <si>
    <t>VERGAS E CONTRA-VERGAS DE CONCRETO</t>
  </si>
  <si>
    <t>Todos os vãos de portas e janelas cujas travessas superiores não faceiem as lajes dos tetos e nem vigas, terão vergas de concreto convenientemente armadas com comprimento tal que excedam 30 (trinta) cm, no mínimo, para cada lado do vão quando possível.  Caso o caixilho esteja entre estruturas de concreto, deverão ser deixados esperas durante a armação e concretagem destes para receber as futuras vergas.</t>
  </si>
  <si>
    <t xml:space="preserve">As alvenarias apresentarão prumo e alinhamentos perfeitos, fiadas niveladas e com espessura das juntas compatíveis com os materiais utilizados.  Os elementos de alvenaria que absorvem água deverão ser molhados por ocasião do seu emprego, e no respaldo de alvenaria não encunhado será executada cinta de concreto armado.
Serão utilizados blocos de concreto estrutural 14x19x39cm, assentados com argamassa de cimento, cal e areia na posição de "uma vez".  As três primeiras fiadas deverão ser assentes com argamassa de cimento e areia no traço 1:3. 
</t>
  </si>
  <si>
    <t>Deverá ser aplicado Impermeabilizante em membrana à base de polímeros acrílicos, na cor branca nos baldrames e na alvenaria até uma altura de 40 centímetros.</t>
  </si>
  <si>
    <t>COBERTURA</t>
  </si>
  <si>
    <t>Deverá ser feita em telhas cerâmicas sobre estrutura tesourada de madeira de lei, com inclinação não inferior a 35%.</t>
  </si>
  <si>
    <t>JANELAS</t>
  </si>
  <si>
    <t>Todas as janelas deverão ser de vidro temperado incolor pontilhado, maximar, de 8mm.</t>
  </si>
  <si>
    <t>O piso deverá ser cerâmico esmaltado antiderrapante PEI-5 resistência química A, para áreas internas com saída para o exterior, bem como os rodapés, assentado com argamassa mista e devidamente rejuntado com argamassa industrializada.</t>
  </si>
  <si>
    <t>LÁTEX ACRÍLICO</t>
  </si>
  <si>
    <t>Deverá ser aplicado nas paredes externas do vestiário</t>
  </si>
  <si>
    <t>13.1</t>
  </si>
  <si>
    <t>33) Especificação de Serviço</t>
  </si>
  <si>
    <t xml:space="preserve">TOTAL </t>
  </si>
  <si>
    <t xml:space="preserve">Quant. </t>
  </si>
  <si>
    <t>Unid.</t>
  </si>
  <si>
    <t>Serão aplicados com argamassa de cimento e areia na proporção de 1:3 convenientemente curado com as seguintes características:
٭ cimento: fabricação recente;
٭ areia: isenta de torrões de argila, gravetos, impurezas orgânicas, etc;
٭ água: limpa, isenta de óleos, materiais orgânicos, etc.
A superfície deverá ser limpa com vassoura e molhada posteriormente.  Os materiais deverão ser dosados a seco.  Tempo máximo de utilização após o contato da mistura com a água é de 2:30hs (duas horas e trinta minutos) e desde que não apresente nenhum sinal de endurecimento.</t>
  </si>
  <si>
    <t>Os serviços de tubulação e fiação das instalações elétricas deverão ser executados e orientados por profissional competente e do ramo. O número de luminárias, interruptores e tomadas está indicado em planilha orçamentária anexa.
Deverá ser obedecida a norma NBR 5410 para a realização dos serviços.</t>
  </si>
  <si>
    <t>Todos os eletrodutos deverão ser devidamente chumbados na parede e quando for necessário no piso deverão ser “envelopados” com concreto, sempre tomando cuidado para não deixar restos de argamassa ou concreto próximos às saídas ou entradas dos eletrodutos para não obstruí-los.
Os eletrodutos serão de PVC, flexível e de boa resistência, no mínimo diâmetro de ¾” e, quando necessário, usar diâmetros maiores.
Os condutores de distribuição serão de fio de cobre, isolação PVC 750V, BWF, com certificado do INMETRO com identificação NBR na capa, da marca Pirelli ou similar.
Deverá ser seguida a seguinte padronização de cores para os condutores:
FASE: qualquer cor, exceto azul e verde
NEUTRO: azul
TERRA: verde
Não serão aceitos, de forma alguma, condutores soltos e sem proteção (condutores expostos em caixas de passagem, etc).
Haverão circuitos separados para iluminação e força de cada compartimento.  As tomadas serão da marca Pial, ou similar do tipo 2P+T, e deverão contar com fio terra.  As bitolas dos cabos a ser usados serão definidas no projeto executivo, bem como o projeto de iluminação.</t>
  </si>
  <si>
    <t>A obra deverá ser entregue em perfeito estado de limpeza e conservação, devendo apresentar funcionamento perfeito em todas as suas instalações, equipamentos e aparelhos.  As instalações definitivamente ligadas às redes dos serviços públicos de energia.
Todo o entulho será removido do terreno pela Empreiteira, cabendo a esta também a retirada do Canteiro de Obras, bem como os reparos necessários a serem executados no local onde forem instalados.
Durante o desenvolvimento da obra, será obrigatória a proteção dos pisos recém concluídos, até a conclusão final da obra.
Todos os aparelhos como luminárias, espelhos de tomadas e interruptores, torneiras, cubas, etc, deverão ser entregues em perfeito estado de limpeza, tomando-se os devidos cuidados para não danificar qualquer uma das peças, caso isso possa vir a ocorrer, a Empreiteira fica obrigada a reparar os danos o mais rápido possível.</t>
  </si>
  <si>
    <t>A locação interna da obra deverá der executada com instrumentos apropriados ao serviço.
A locação da obra será totalmente executada pela Empreiteira, sendo de sua inteira responsabilidade a execução deste serviço, sendo que a ocorrência de erro na locação da obra projetada implicará para esta na obrigação e reposições que se tornem necessárias a juízo da fiscalização.</t>
  </si>
  <si>
    <t>As formas de vigas e pilares deverão ser de tábua comum ou chapa de compensado tipo madeirite, as quais deverão ter  as amarrações e os escoramentos necessários para não sofrerem deslocamentos ou deformações quando do lançamento do concreto, fazendo com que por ocasião da desforma reproduza uma estrutura perfeita e alinhada.
Na retirada das formas deve se evitar choques mecânicos.
A execução das formas e seus escoramentos deverão garantir nivelamento, prumo, esquadro, paralelismo, alinhamento das peças e impedir o aparecimento de ondulações na superfície pronta do concreto.</t>
  </si>
  <si>
    <t>Todas as superfícies a pintar deverão estar secas, sendo cuidadosamente limpas, retocadas e preparadas para o tipo de pintura a que se destinam.
Cada demão de tinta só poderá ser aplicada quando a precedente estiver perfeitamente seca, convindo observar o intervalo considerado entre duas demãos sucessivas.  Deverão ser evitados escorrimentos ou salpicos de tinta nas superfícies não destinadas à pintura (vidros, pisos, louças, metais, etc); os salpicos que não puderem ser evitados deverão ser removidos quando a tinta estiver fresca, empregando removedor adequado.
Toda vez que uma superfície estiver sendo lixada, esta será cuidadosamente limpa com uma escova e depois com um pano seco, para remover todo o pó, antes de aplicar a demão seguinte.
Toda superfície deverá apresentar, depois de pronta, uniformidade quanto a textura, tonalidade e brilho (fosco, semi-fosco e brilhante).</t>
  </si>
  <si>
    <t>___________________________________</t>
  </si>
  <si>
    <t>15) Nome ANDRÉ PAULUCCI NEGRÃO</t>
  </si>
  <si>
    <t>18) Profissão: Engenheiro</t>
  </si>
  <si>
    <t>19) Nº CREA: 5062269629</t>
  </si>
  <si>
    <t>20) Nº ART: 92221220140739820</t>
  </si>
  <si>
    <t>21) DDD (14)</t>
  </si>
  <si>
    <t>22) Telefone Comercial: 3713-9222</t>
  </si>
  <si>
    <t>23) Fax: 3713-9222</t>
  </si>
  <si>
    <t xml:space="preserve">24) email:                                                                               convenios@paranapanema.sp.gov.br </t>
  </si>
  <si>
    <t>16) RG: 33.727.535-X</t>
  </si>
  <si>
    <t>17) CPF:309.596.878-74</t>
  </si>
  <si>
    <t>10) Nome ANTONIO HIROMITI NAKAGAWA</t>
  </si>
  <si>
    <t>Anexos I (plano de trabalho) e II (cronograma físico-financeiro) conforme Cláusula Primeira do ANEXO I do Decreto nº 52.418 de 28/11/2007, em atendimento ao Artigo 116, da Lei Federal nº 8.666 de 21/06/1993, nos moldes do disposto no Artigo 5º, Inciso II do Decreto nº 59.215 de 21/05/2013.</t>
  </si>
  <si>
    <t>PROCESSO N° 432/2012</t>
  </si>
  <si>
    <t>Convênios celebrados em 02/07/2012</t>
  </si>
  <si>
    <t>VESTIARIOS</t>
  </si>
  <si>
    <t xml:space="preserve">51)  DECLARAÇÃO
Declaramos que as AÇÕES que visam ao início da execução do objeto do convênio serão praticadas em até 30 (trinta) dias após a celebração do convênio.
O início das OBRAS se dará em até 30 (trinta) dias a partir da assinatura do contrato com a empresa vencedora da licitação, através da emissão da Ordem de Serviço (OS) e o seu término de acordo com o prazo previsto no convênio firmado junto a Secretaria de Esporte, Lazer e Juventude do Estado de São Paulo
                                                          </t>
  </si>
  <si>
    <t>Alvenaria de bloco de concreto estrutural, uso revestido, de 14 cm</t>
  </si>
  <si>
    <t>NOVOS VALORES</t>
  </si>
  <si>
    <t>CONTRA PISO EM CONCRETO  INT/EXT - calçada</t>
  </si>
  <si>
    <t>Forma em madeira para estrutura</t>
  </si>
  <si>
    <t>Ducha cromada simples</t>
  </si>
  <si>
    <t>As áreas de chuveiro deverão ser revestidas com placa cerâmica esmaltada até o teto, devidamente rejuntadas enquanto as demais paredes internas e externas serão devidamente chapiscadas e rebocadas e receberão pintura acrílica.</t>
  </si>
  <si>
    <t xml:space="preserve">SERVIÇOS PRELIMINARES </t>
  </si>
  <si>
    <t>Impermeabilização com cimento cristalizante para pressão hidrostática positiva</t>
  </si>
  <si>
    <t>Lançamento e adensamento de concreto ou massa em estrutura</t>
  </si>
  <si>
    <t>bdi</t>
  </si>
  <si>
    <t>Forma em madeira comum para estrutura</t>
  </si>
  <si>
    <t>Esmalte em superfície de madeira, inclusive preparo</t>
  </si>
  <si>
    <t>Bacia sifonada de louça para pessoas com mobilidade reduzida - 6 litros</t>
  </si>
  <si>
    <t>conj.</t>
  </si>
  <si>
    <t>Tubo de PVC rígido branco PxB com virola e anel de borracha, linha esgoto série normal, DN= 50 mm, inclusive conexões</t>
  </si>
  <si>
    <t>Tubo de PVC rígido branco PxB com virola e anel de borracha, linha esgoto série normal, DN= 100 mm, inclusive conexões</t>
  </si>
  <si>
    <t>Tubo de PVC rígido soldável marrom, DN= 25 mm, (3/4´), inclusive conexões</t>
  </si>
  <si>
    <t>Tubo de PVC rígido soldável marrom, DN= 50 mm, (1 1/2´), inclusive conexões</t>
  </si>
  <si>
    <t>Reservatório de fibra de vidro - capacidade de 1.000 litros</t>
  </si>
  <si>
    <t>BOLETIM 164 - 01/12/2014
Vigência: 10/10/13</t>
  </si>
  <si>
    <t xml:space="preserve"> Cimento cristalizante de pega normal para aplicação sobre superfícies úmidas;
 Propriedade de penetração osmótica nos capilares da superfície formando um gel que se
cristaliza, incorporando ao concreto compostos de cálcio estáveis e insolúveis;
 Estanqueidade até a pressão de 4kgf / cm²;
 Aderência mínima de 0,3 MPa;
 Protótipos comerciais: Denver LIT, fabricação Dever Global; ou K11, fabricação Viapol;
ou outro desde que atenda às exigências mínimas da NBR 11905 e às características
técnicas acima descritas;
</t>
  </si>
  <si>
    <t>Argamassa de regularização e/ou proteção</t>
  </si>
  <si>
    <t>8.17</t>
  </si>
  <si>
    <t>Caixa de medição externa tipo ´N´ (1300 x 1200 x 270) mm, padrão Eletropaulo</t>
  </si>
  <si>
    <t>5.8</t>
  </si>
  <si>
    <t>11.2</t>
  </si>
  <si>
    <t>11.3</t>
  </si>
  <si>
    <t>11.4</t>
  </si>
  <si>
    <t>11.5</t>
  </si>
  <si>
    <t>11.6</t>
  </si>
  <si>
    <t>11.7</t>
  </si>
  <si>
    <t>Porta/portão de abrir em chapa, sob medida</t>
  </si>
  <si>
    <t>1.3</t>
  </si>
  <si>
    <t>Plantio de grama São Carlos em placas (jardins e canteiros)</t>
  </si>
  <si>
    <t>1.4</t>
  </si>
  <si>
    <t xml:space="preserve">MURO </t>
  </si>
  <si>
    <t>1.5</t>
  </si>
  <si>
    <t xml:space="preserve">PINTURA </t>
  </si>
  <si>
    <t xml:space="preserve">ALVENARIA  E ESTRUTURA </t>
  </si>
  <si>
    <t>Demolição manual de alvenaria de elevação ou elemento vazado, incluindo revestimento</t>
  </si>
  <si>
    <t>Alvenaria de bloco cerâmico de vedação, uso revestido, de 9 cm</t>
  </si>
  <si>
    <t>Armadura em barra de aço CA-50 (A ou B) fyk= 500 MPa</t>
  </si>
  <si>
    <t/>
  </si>
  <si>
    <t xml:space="preserve">ALVENARIA E ESTRUTURA </t>
  </si>
  <si>
    <t xml:space="preserve">O solo deverá ser devidamente preparado com terra vegetal para o plantio de grama São Carlos em placas. As placas deverão ficar justapostas para garantir a completa forração. Após o plantio, as placas de grama devem ser irrigadas para pega, caso não pegarem num prazo de 30 dias, deverão ser subtituídas. </t>
  </si>
  <si>
    <t>As fundações serão compostas por vigas baldrame de concreto armado e brocas de concreto armado de 20cm de diâmetro, com profundidade mínima de 2,0 metros dependendo das condições do solo do local. A viga baldrame será executada com barras de aço CA-50 (fyk= 500 MPa), durante a concretagem será necessário tomar cuidado para que a armadura não fique em contato com o solo, sendo assim deverão ser utilizados espaçadores. O concreto usinado deverá ter resistência mínima à compressão de 20 MPa, plasticidade ("slump") de 5 ± 1 cm, preparado com britas 1 e 2, sendo remunerado o fornecimento e posto obra.</t>
  </si>
  <si>
    <t xml:space="preserve">Será executada a demolição manual de alvenaria de elevação do muro, conforme indicado em projeto, para a instalação de portão.  A alvenaria do muro a ser executado, será em bloco vazado cerâmico simples (90 x 190 x 390 mm), assentado com argamassa de cimento, cal hidratada e areia.  </t>
  </si>
  <si>
    <t>A superfície em que a tinta será aplicada deve estar seca e limpa. Deve ser feito o preparo da superfície com selador de tinta para pintura e posterior aplicação de tinta acrílica Standard com acabamento fosco acetinado, referêcia Rende Muito da Coral, ou Rende Muito Cobre Mais Basf-Suvinil, ou Paredes Tinta Acrílica Standard Basf-Glasurit, ou equivalente. Devem ser aplicadas 2 ou 3 demãos de tinta de acordo com a necessidade.</t>
  </si>
  <si>
    <t>GRADE DE SEGURANÇA EM AÇO</t>
  </si>
  <si>
    <t>Será executada instalação de grade de segurança em aço SAE 1045, constituída por: grade confeccionada com barras chatas de 2" x 1/2", dispostas horizontalmente e no requadro da peça, barras redondas de 1", dispostas verticamente. Para sua fixação deverão ser executadas brocas com profundidade mínima de 1,50 m.</t>
  </si>
  <si>
    <t>Transporte de solo de 1ª e 2ª categoria por caminhão até o 2° km</t>
  </si>
  <si>
    <t>Solo argiloso</t>
  </si>
  <si>
    <t>Será fornecido solo argilo para execução de aterro, conforme indicado em projeto, visto que este solo possui dificuldade de desagregação e permite executar taludes.</t>
  </si>
  <si>
    <t xml:space="preserve">Conforme indicado em projeto, será executada a compactação de aterro, devendo ser executada a  regularização e compactação do solo mecanizada e por fim deverão ser realizados os acertos e acabamentos manuais do talude. </t>
  </si>
  <si>
    <t>PLANO DE APLICAÇÃO DOS RECURSOS  (Planilha Orçamentária) - ADITIVO</t>
  </si>
  <si>
    <t>11.8</t>
  </si>
  <si>
    <t>Esmalte em estrutura metálica</t>
  </si>
  <si>
    <t>Acrílico para quadras e pisos cimentados</t>
  </si>
  <si>
    <r>
      <t xml:space="preserve">2º Item – OBJETO DO CONVÊNIO (Transcrever </t>
    </r>
    <r>
      <rPr>
        <b/>
        <u/>
        <sz val="10"/>
        <color theme="1"/>
        <rFont val="Times New Roman"/>
        <family val="1"/>
      </rPr>
      <t>literalmente</t>
    </r>
    <r>
      <rPr>
        <b/>
        <sz val="10"/>
        <color theme="1"/>
        <rFont val="Times New Roman"/>
        <family val="1"/>
      </rPr>
      <t xml:space="preserve"> o objeto conforme o Termo de Convênio celebrado)</t>
    </r>
  </si>
  <si>
    <r>
      <t xml:space="preserve">(          )     </t>
    </r>
    <r>
      <rPr>
        <b/>
        <u/>
        <sz val="10"/>
        <color theme="1"/>
        <rFont val="Times New Roman"/>
        <family val="1"/>
      </rPr>
      <t>NÃO HOUVE ALTERAÇÃO</t>
    </r>
    <r>
      <rPr>
        <b/>
        <sz val="10"/>
        <color theme="1"/>
        <rFont val="Times New Roman"/>
        <family val="1"/>
      </rPr>
      <t xml:space="preserve"> NO MEMORIAL DESCRITIVO DESDE A ASSINATURA DO CONVÊNIO.</t>
    </r>
  </si>
  <si>
    <r>
      <t xml:space="preserve"> </t>
    </r>
    <r>
      <rPr>
        <sz val="10"/>
        <color theme="1"/>
        <rFont val="Times New Roman"/>
        <family val="1"/>
      </rPr>
      <t>30)</t>
    </r>
  </si>
  <si>
    <r>
      <t xml:space="preserve">(          )   </t>
    </r>
    <r>
      <rPr>
        <b/>
        <u/>
        <sz val="10"/>
        <color theme="1"/>
        <rFont val="Times New Roman"/>
        <family val="1"/>
      </rPr>
      <t>NÃO HOUVE ALTERAÇÃO</t>
    </r>
    <r>
      <rPr>
        <b/>
        <sz val="10"/>
        <color theme="1"/>
        <rFont val="Times New Roman"/>
        <family val="1"/>
      </rPr>
      <t xml:space="preserve"> NOS VALORES DOS SERVIÇOS A SEREM EXECUTADOS.</t>
    </r>
  </si>
  <si>
    <r>
      <t>OBS.:</t>
    </r>
    <r>
      <rPr>
        <sz val="10"/>
        <color theme="1"/>
        <rFont val="Times New Roman"/>
        <family val="1"/>
      </rPr>
      <t xml:space="preserve"> </t>
    </r>
  </si>
  <si>
    <r>
      <t xml:space="preserve">  42)  </t>
    </r>
    <r>
      <rPr>
        <b/>
        <sz val="10"/>
        <color theme="1"/>
        <rFont val="Times New Roman"/>
        <family val="1"/>
      </rPr>
      <t xml:space="preserve"> Data Base :  02/08/2014</t>
    </r>
  </si>
  <si>
    <r>
      <t xml:space="preserve">52)  </t>
    </r>
    <r>
      <rPr>
        <b/>
        <u/>
        <sz val="10"/>
        <color theme="1"/>
        <rFont val="Times New Roman"/>
        <family val="1"/>
      </rPr>
      <t>DECLARAÇÃO</t>
    </r>
    <r>
      <rPr>
        <b/>
        <sz val="10"/>
        <color theme="1"/>
        <rFont val="Times New Roman"/>
        <family val="1"/>
      </rPr>
      <t xml:space="preserve"> (“se houve alteração”)</t>
    </r>
  </si>
  <si>
    <t>Antes do lançamento do concreto, as formas deverão ser limpas, molhadas, a fim de evitar perda excessiva de água do concreto.
O transporte do concreto até o local de lançamento deverá ser cuidadosamente estudado, para evitar a segregação ou perda de material, observando-se ainda:
٭ não será admitido o uso de concreto remisturado;
٭ a concretagem deverá obedecer a um plano de lançamento com especiais cuidados na localização dos trechos de interrupção diária. É aconselhado que a concretagem de todos os elementos estruturais da piscina seja feita em uma só etapa, podendo, no entando, ser feita em 2 etapas distintas, sendo na primeira etapa a concretagem da laje de fundo juntamente com a viga inferior, e em uma segunda etapa a complementação dos pilares e a concretagem da viga intermediária bem como da viga superior.
O concreto deverá ser convenientemente vibrado, imediatamente após o lançamento.
Cuidados especiais deverão ser tomados durante a cura do concreto nos primeiros sete dias posteriores à concretagem tais como:
٭ vedar todo o excesso ou acúmulo de material nas partes concretadas durante 24 horas após a conclusão;
٭ manter as superfícies úmidas.
O acesso às superfícies concretadas deverá ser impedido até pelo menos 24 horas após a conclusão da concretagem.
O lançamento deverá seguir o tempo máximo de 60 (sessenta) minutos entre o fim do amassamento e o fim do lançamento.</t>
  </si>
  <si>
    <t>_________________________________</t>
  </si>
  <si>
    <t xml:space="preserve">                 Antonio Hiromiti Nakagawa                                                           </t>
  </si>
  <si>
    <t xml:space="preserve">André Paulucci Negrão </t>
  </si>
  <si>
    <t xml:space="preserve">            Prefeito Municipal</t>
  </si>
  <si>
    <t>Engenheiro Civil - CREA 5062269629</t>
  </si>
  <si>
    <t xml:space="preserve">01/01/2017    à   31/12/2020                             </t>
  </si>
  <si>
    <t>SOLO ARGILOSO</t>
  </si>
  <si>
    <t>REGULARIZAÇÃO E COMPACTAÇÃO MECANIZADA DE SUPERFÍCIE, SEM CONTROLE DO PROCTOR NORMAL</t>
  </si>
  <si>
    <t>PLANTIO DE GRAMA SÃO CARLOS EM PLACAS (JARDINS E CANTEIROS)</t>
  </si>
  <si>
    <t>ADITAMENTO PISCINA ADULTO E INFANTIL</t>
  </si>
  <si>
    <t xml:space="preserve">As piscinas receberão, em toda superfície, revestimento cerâmico em placas cerâmicas esmaltadas para paredes de 20 x 20 cm, assentado com argamassa colante industrializada, devidamente rejuntados. </t>
  </si>
  <si>
    <t>O piso da piscina deverá ser regularizado com argamassa de cimento e areia, conforme indicado em projeto.</t>
  </si>
  <si>
    <t>PORTAS</t>
  </si>
  <si>
    <t>ADITAMENTO VESTIARIOS MASC. E FEM.</t>
  </si>
  <si>
    <t xml:space="preserve">As portas internas serão de madeira lisa, encabeçadas, para pintura, completas com todos os acessórios necessários ao seu funcionamento e nos tamanhos determinados em projeto.  Os batentes deverão ser assentados acima da altura do rodapé devido às regulares lavagens que o piso sofrerá durante o seu funcionamento, no esquadro e no prumo para garantir precisão e ajuste na colocação das portas e ferragens. </t>
  </si>
  <si>
    <t>As exigências aqui formuladas são as mínimas, devendo prevalecer as normas técnicas da ABNT e as recomendações do fabricante.                                                                                                           Deverão ser instalados todos os equipamentos constantes em projeto e em planilha orçamentária, de acordo com as normas técnicas da ABNT e recomendações dos fabricantes.</t>
  </si>
  <si>
    <t>Os serviços de tubulação e fiação das instalações elétricas deverão ser executados e orientados por profissional competente e do ramo. O número de luminárias, interruptores e tomadas está indicado em planilha orçamentária anexa. 
Deverá ser obedecida a norma NBR 5410 para a realização dos serviços.</t>
  </si>
  <si>
    <t>Será feita a instalação de caixa de medição externa, tipo "N" de 1300 x 1200 x 270 mm, constituída por: corpo, estrutura, portas e sobre-portas em chapa de aço nº 14, com acabamento conforme padrão concessionárias, além disso serão fornecidos os materiais acessórios para a instalação completa da caixa.                                                                                                                                            Deverá ser obedecida a norma NBR 5410 para a realização dos serviços.</t>
  </si>
  <si>
    <t>ADITAMENTO MURO</t>
  </si>
  <si>
    <t>O muro deverá ser chapiscado com argamassa de cimento e areia na proporção de 1:3 convenientemente curado. A superfície deverá ser limpa com vassoura e molhada posteriormente.  Os materiais deverão ser dosados a seco.  Tempo máximo de utilização após o contato da mistura com a água é de 2:30hs (duas horas e trinta minutos) e desde que não apresente nenhum sinal de endurecimento.                                                                                                                                               Todas as superfícies das novas instalações deverão ser emboçadas e rebocadas. O emboço/reboco só serão iniciados após a completa pega dos chapiscos, sua espessura mínima será de 20 mm.  Este deverá ser prumado, alinhado e taliscado, para que possa apresentar aspecto uniforme com parâmetros perfeitamente planos, não sendo tolerada qualquer ondulação ou desigualdade do alinhamento da superfície.</t>
  </si>
  <si>
    <t>8.6</t>
  </si>
  <si>
    <t>8.11</t>
  </si>
  <si>
    <t xml:space="preserve">ADITAMENTO MURO </t>
  </si>
  <si>
    <t xml:space="preserve">                                                                  ADITAMENTO MURO </t>
  </si>
  <si>
    <t>OBS: 1) Os serviços deste Cronograma Físico-Financeiro devem ser iguais aos relacionados no Memorial Descritivo (item 29).</t>
  </si>
  <si>
    <r>
      <t xml:space="preserve">Declaramos que o município assegurou os recursos orçamentários no valor da contrapartida de </t>
    </r>
    <r>
      <rPr>
        <sz val="10"/>
        <rFont val="Times New Roman"/>
        <family val="1"/>
      </rPr>
      <t xml:space="preserve"> (), necessários a complementação do objeto do convênio a ser firmado com a Secretaria de Esporte, Lazer e Juventude do Estado de São Paulo, através da reserva de recursos orçamentários, identificando o número e a descrição do elemento econômico onerado </t>
    </r>
    <r>
      <rPr>
        <b/>
        <sz val="10"/>
        <rFont val="Times New Roman"/>
        <family val="1"/>
      </rPr>
      <t>obras e instalações e nº 4.4.90.51.00</t>
    </r>
    <r>
      <rPr>
        <sz val="10"/>
        <rFont val="Times New Roman"/>
        <family val="1"/>
      </rPr>
      <t xml:space="preserve"> estando de acordo com o disposto no Artigo 116, Parágrafo I, Inciso VII da Lei Federal nº. 8.666, de 21/06/93, atualizada pela Lei Federal nº 8.883/94 de 08/06/94.</t>
    </r>
  </si>
  <si>
    <t>2.0</t>
  </si>
  <si>
    <t>1.0</t>
  </si>
  <si>
    <t>3.0</t>
  </si>
  <si>
    <t>4.0</t>
  </si>
  <si>
    <t>TRANSPORTE DE SOLO</t>
  </si>
  <si>
    <t>O solo argiloso deverá ser transportado do local indicado pela Prefeitura Municipal até o local da obra, inclindo carga e descarga.</t>
  </si>
  <si>
    <t>ESMALTE EM ESTRUTURA METÁLICA</t>
  </si>
  <si>
    <t xml:space="preserve">Serão instalados portões com as dimensões indicadas em projeto, serão constituído por chapa de ferro, requadro para a estrutura da folha, batentes em perfil de chapa de ferro dobrada e ferragens (dobradiças, fechaduras, maçanetas, puxadores e trincos). </t>
  </si>
  <si>
    <t xml:space="preserve">Os portões deverão ser pintados com tinta esmalte, devendo a superfície ser previamente limpa e preparada com zarcão.  </t>
  </si>
  <si>
    <t>PISO COM REQUADRO</t>
  </si>
  <si>
    <t>ACRÍLICO PARA PISOS</t>
  </si>
  <si>
    <t>Serão executados serviços de regularização e compactação mecanizada, englobando os serviços: regularização e compactação em solo, para a implantação de plataforma destinada à pavimentação; acabamento da superfície, para o acerto das cotas; locação por meio de piquetes, do eixo e cotas do greide.</t>
  </si>
  <si>
    <t>Será executado serviço de preparo do concreto, lançamento e a execução do piso com acabamento desempenado, em concreto preparado no local, sem o controle do fck</t>
  </si>
  <si>
    <t xml:space="preserve"> Será executada pintura da superfície com tinta acrílica, a base de resinas acrílicas, com alta resistência à abrasão, acabamento microtexturizado, lavável, resistente a água, alcalinidade, maresia e intempéries; conforme norma NBR 11702. Estão inclusos serviços de limpeza da superfície, conforme recomendações do fabricante; aplicação da tinta acrílica, uma demão como primer, com a tinta diluída em 40% de água, duas demãos de acabamento, com a tinta diluída em 20% de água, conforme especificações do fabricante</t>
  </si>
  <si>
    <r>
      <t xml:space="preserve">(   X    )    </t>
    </r>
    <r>
      <rPr>
        <b/>
        <u/>
        <sz val="10"/>
        <color theme="1"/>
        <rFont val="Times New Roman"/>
        <family val="1"/>
      </rPr>
      <t>HOUVE ALTERAÇÃO</t>
    </r>
    <r>
      <rPr>
        <b/>
        <sz val="10"/>
        <color theme="1"/>
        <rFont val="Times New Roman"/>
        <family val="1"/>
      </rPr>
      <t xml:space="preserve"> NO MEMORIAL DESCRITIVO. Preencher a tabela abaixo, detalhadamente.</t>
    </r>
  </si>
  <si>
    <t>Antes do lançamento do concreto, as formas deverão ser limpas, molhadas, a fim de evitar perda excessiva de água do concreto.
O transporte do concreto até o local de lançamento deverá ser cuidadosamente estudado, para evitar a segregação ou perda de material, observando-se ainda:
                                                                                                                                                                          ٭ não será admitido o uso de concreto remisturado;
٭ a concretagem deverá obedecer a um plano de lançamento com especiais cuidados na localização dos trechos de interrupção diária. É aconselhado que a concretagem de todos os elementos estruturais da piscina seja feita em uma só etapa, podendo, no entando, ser feita em 2 etapas distintas, sendo na primeira etapa a concretagem da laje de fundo juntamente com a viga inferior, e em uma segunda etapa a complementação dos pilares e a concretagem da viga intermediária bem como da viga superior.
O concreto deverá ser convenientemente vibrado, imediatamente após o lançamento.
Cuidados especiais deverão ser tomados durante a cura do concreto nos primeiros sete dias posteriores à concretagem tais como:
٭ vedar todo o excesso ou acúmulo de material nas partes concretadas durante 24 horas após a conclusão;
٭ manter as superfícies úmidas.
O acesso às superfícies concretadas deverá ser impedido até pelo menos 24 horas após a conclusão da concretagem.
O lançamento deverá seguir o tempo máximo de 60 (sessenta) minutos entre o fim do amassamento e o fim do lançamento.</t>
  </si>
  <si>
    <t xml:space="preserve">SERVIÇOS PRELIMINARES
1.1 - PROJETO EXECUTIVO
</t>
  </si>
  <si>
    <t xml:space="preserve">       1.0 CONTRAPISO EM                       CONCRETO                                   REGULARIZAÇÃO E COMPACTAÇÃO</t>
  </si>
  <si>
    <t>2.0 INSTALAÇÕES ELÉTRICASCAIXA DE MEDIÇÃO  EXTERNA</t>
  </si>
  <si>
    <t>3.0 ESQUADRIAS PORTA/PORTÃO EM CHAPA</t>
  </si>
  <si>
    <r>
      <t xml:space="preserve">( X  )   </t>
    </r>
    <r>
      <rPr>
        <b/>
        <u/>
        <sz val="10"/>
        <color theme="1"/>
        <rFont val="Times New Roman"/>
        <family val="1"/>
      </rPr>
      <t>HOUVE ALTERAÇÃO</t>
    </r>
    <r>
      <rPr>
        <b/>
        <sz val="10"/>
        <color theme="1"/>
        <rFont val="Times New Roman"/>
        <family val="1"/>
      </rPr>
      <t xml:space="preserve"> NOS VALORES DOS SERVIÇOS A SEREM EXECUTADOS.  </t>
    </r>
  </si>
  <si>
    <t>TOTAL ADITAMENTO</t>
  </si>
  <si>
    <t>Prefeitura Municipal da Estância Turística de Paranapanema  02 de Fevereiro de 2017</t>
  </si>
  <si>
    <t xml:space="preserve">             Prefeitura Municipal da Estância Turística de Paranapanema</t>
  </si>
  <si>
    <t xml:space="preserve">             Secretaria da Administração</t>
  </si>
  <si>
    <t xml:space="preserve">             Departamento de Convênios</t>
  </si>
  <si>
    <r>
      <t>OBS.:</t>
    </r>
    <r>
      <rPr>
        <sz val="10"/>
        <color theme="1"/>
        <rFont val="Times New Roman"/>
        <family val="1"/>
      </rPr>
      <t xml:space="preserve"> A Especificação de Serviço do campo “33” deve ser transcrita literalmente como preenchida no campo “29”.</t>
    </r>
  </si>
  <si>
    <t>Prefeitura Municipal da Estância Turística de Paranapanema  29 de Março de 2017</t>
  </si>
  <si>
    <t xml:space="preserve">51)  DECLARAÇÃO (“Obra em Andamento”)
Declaramos que o início das obras foi em 16/12/2015 e a previsão de término em 16/09/2017.  
                                                          </t>
  </si>
  <si>
    <t>APLICAÇÃO FINANCEIRA</t>
  </si>
  <si>
    <r>
      <rPr>
        <b/>
        <sz val="10"/>
        <color theme="1"/>
        <rFont val="Times New Roman"/>
        <family val="1"/>
      </rPr>
      <t>41) Licitação:</t>
    </r>
    <r>
      <rPr>
        <sz val="10"/>
        <color theme="1"/>
        <rFont val="Times New Roman"/>
        <family val="1"/>
      </rPr>
      <t xml:space="preserve"> Tomada de Preço nº 011/2015</t>
    </r>
  </si>
  <si>
    <t>Aplicação Financeira</t>
  </si>
  <si>
    <t>54.01.010</t>
  </si>
  <si>
    <t>05.10.020</t>
  </si>
  <si>
    <t>34.02.080</t>
  </si>
  <si>
    <t>24.04.220</t>
  </si>
  <si>
    <t>17.01.020</t>
  </si>
  <si>
    <t>17.05.020</t>
  </si>
  <si>
    <t>33.06.020</t>
  </si>
  <si>
    <t>36.03.050</t>
  </si>
  <si>
    <t>24.02.060</t>
  </si>
  <si>
    <t>33.07.100</t>
  </si>
  <si>
    <t>06.02.020</t>
  </si>
  <si>
    <t>12.01.020</t>
  </si>
  <si>
    <t>10.01.040</t>
  </si>
  <si>
    <t>11.01.100</t>
  </si>
  <si>
    <t>11.16.040</t>
  </si>
  <si>
    <t>03.02.040</t>
  </si>
  <si>
    <t>14.04.200</t>
  </si>
  <si>
    <t>11.16.060</t>
  </si>
  <si>
    <t>09.01.030</t>
  </si>
  <si>
    <t>17.02.020</t>
  </si>
  <si>
    <t>17.02.120</t>
  </si>
  <si>
    <t>33.10.050</t>
  </si>
  <si>
    <t>não achei cpos</t>
  </si>
  <si>
    <t>miq</t>
  </si>
  <si>
    <t>cpos</t>
  </si>
  <si>
    <t>8.14</t>
  </si>
  <si>
    <t xml:space="preserve"> MURO </t>
  </si>
  <si>
    <t xml:space="preserve">                                                                   MURO </t>
  </si>
  <si>
    <t xml:space="preserve"> MURO</t>
  </si>
  <si>
    <r>
      <t xml:space="preserve">Declaramos que o município assegurou os recursos orçamentários no valor da contrapartida de R$ 7.055,51 (sete mil cinquenta e cinco reais e cinquenta e um centavos), necessários a complementação do objeto do convênio a ser firmado com a Secretaria de Esporte, Lazer e Juventude do Estado de São Paulo, através da reserva de recursos orçamentários, identificando o número e a descrição do elemento econômico onerado </t>
    </r>
    <r>
      <rPr>
        <b/>
        <sz val="10"/>
        <rFont val="Times New Roman"/>
        <family val="1"/>
      </rPr>
      <t>obras e instalações e nº 4.4.90.51.00</t>
    </r>
    <r>
      <rPr>
        <sz val="10"/>
        <rFont val="Times New Roman"/>
        <family val="1"/>
      </rPr>
      <t xml:space="preserve"> estando de acordo com o disposto no Artigo 116, Parágrafo I, Inciso VII da Lei Federal nº. 8.666, de 21/06/93, atualizada pela Lei Federal nº 8.883/94 de 08/06/94.</t>
    </r>
  </si>
  <si>
    <t xml:space="preserve">Será fornecido solo argilo para execução de aterro, conforme indicado em projeto, visto que este solo possui dificuldade de desagregação e permite executar taludes.    </t>
  </si>
  <si>
    <t>REGULARIZAÇÃO</t>
  </si>
  <si>
    <t xml:space="preserve">Conforme indicado em projeto, será executada a compactação de aterro, devendo ser executada a  regularização e compactação do solo mecanizada e por fim deverão ser realizados os acertos e acabamentos manuais do talude.     </t>
  </si>
  <si>
    <t>TRANSPORTE</t>
  </si>
  <si>
    <t>GRAMA</t>
  </si>
  <si>
    <r>
      <t xml:space="preserve">A Empreiteira é responsável pela apresentação de todos os projetos executivos antes do início das atividades. Os materiais tais como, tomadas, interruptores, portas, ferragens, tanque, etc deverão ser aprovados pela contratante antes da instalação.                                                                                    </t>
    </r>
    <r>
      <rPr>
        <sz val="10"/>
        <color rgb="FFFF0000"/>
        <rFont val="Times New Roman"/>
        <family val="1"/>
      </rPr>
      <t xml:space="preserve">                                                                                                                                                                                                                                                                                     </t>
    </r>
    <r>
      <rPr>
        <sz val="10"/>
        <color theme="1"/>
        <rFont val="Times New Roman"/>
        <family val="1"/>
      </rPr>
      <t xml:space="preserve">     </t>
    </r>
  </si>
  <si>
    <t>O solo deverá ser devidamente preparado com terra vegetal para o plantio de grama São Carlos em placas. As placas deverão ficar justapostas para garantir a completa forração. Após o plantio, as placas de grama devem ser irrigadas para pega, caso não pegarem num prazo de 30 dias, deverão ser subtituídas.</t>
  </si>
  <si>
    <t>ESCAVAÇÃO MECANIZADA DE SOLO</t>
  </si>
  <si>
    <t>CONCRETO E LANÇAMENTO</t>
  </si>
  <si>
    <t>BROCA</t>
  </si>
  <si>
    <t>4.3/4.4</t>
  </si>
  <si>
    <t>VESTIÁRIOS</t>
  </si>
  <si>
    <t>LOCAÇÃO DE OBRA</t>
  </si>
  <si>
    <t>ARMADURA</t>
  </si>
  <si>
    <t>SUPERESTRUTURA</t>
  </si>
  <si>
    <t>ARMADURA DE AÇO CA-50A OU CA-60A</t>
  </si>
  <si>
    <t>REVESTIMENTO EM PLACA CERÂMICA</t>
  </si>
  <si>
    <t xml:space="preserve">As piscinas receberão, em toda superfície, revestimento cerâmico em placas cerâmicas esmaltadas para paredes de 20 x 20 cm, assentado com argamassa colante industrializada, devidamente rejuntados.     </t>
  </si>
  <si>
    <t>Na área externa, ao redor das piscinas, o piso será em pedras São Tomé assentada sobre contrapiso de concreto.</t>
  </si>
  <si>
    <t>CONTRAPISO/ PEDRA SÃO TOMÉ</t>
  </si>
  <si>
    <t>REJUNTAMENTO</t>
  </si>
  <si>
    <t>o rejuntamento das placas cerâmicas deverão ser executados com argamassa industrializada para rejunte</t>
  </si>
  <si>
    <t>ARGAMASSA DE REGULARIZAÇÃO</t>
  </si>
  <si>
    <t>Sob o piso da piscina, deverá ser feita argamassa de cimento e areia com adição de aditivo colante (BIANCO) para regularização da superfície e posterior assentamento das placas cerâmicas</t>
  </si>
  <si>
    <t>FILTRO / MOTO BOMBA</t>
  </si>
  <si>
    <t>Deverá ser instalado filtro e conjunto moto bomba do tipo FVP 120 Sodramar, moto bomba BMS 300 3cv ou similar com acessórios</t>
  </si>
  <si>
    <t>ESCAVAÇÃO MANUAL</t>
  </si>
  <si>
    <t>CALÇADA EXTERNA</t>
  </si>
  <si>
    <t>ALVENARIA E ESTRUTURA</t>
  </si>
  <si>
    <t>VERGAS, CONTRAVERGAS</t>
  </si>
  <si>
    <t>LAJE</t>
  </si>
  <si>
    <t>Deverão ser executadas as escavações necessárias para a realização da obra, ou seja, escavações para alicerce, baldrame em vigas de concreto armado.
- Apiloamento do fundo das cavas
Após a escavação deverá ser efetuado enérgico e vigoroso apiloamento por processos manuais</t>
  </si>
  <si>
    <t>EMBOÇO</t>
  </si>
  <si>
    <t>PISO CERÂMICO</t>
  </si>
  <si>
    <t xml:space="preserve">As piscinas receberão, em toda superfície, revestimento cerâmico em placas cerâmicas esmaltadas para paredes de 15X15 cm, assentado com argamassa colante industrializada, devidamente rejuntados.     </t>
  </si>
  <si>
    <t>MADEIRAMENTO / TELHA/ CUMEEIRA</t>
  </si>
  <si>
    <t xml:space="preserve">Deverá ser aplicado latex acrílico nas paredes externas do vestiário, as portas receberão pintura em esmalte acrílico </t>
  </si>
  <si>
    <t>A laje será composta por vigota pré-fabricada treliçada (VT) e lajota cerâmica com
altura de 8 cm; concreto com fck maior ou igual a 20 MPa, para o capeamento; aço para
armadura de distribuição.</t>
  </si>
  <si>
    <t>Deverão ser executados vergas e contravergas de concreto armado sob os vãos de janelas e sobre aberturas de janelas, portas e demais vãos livres.</t>
  </si>
  <si>
    <t>2.2/   2.3</t>
  </si>
  <si>
    <t>5.5/   5.6</t>
  </si>
  <si>
    <t>2.5/   2.6</t>
  </si>
  <si>
    <t>Regularização e compactação em solo, para a implantação de calçada externa.</t>
  </si>
  <si>
    <t>Piso com acabamento desempenado, emconcreto preparado no local, sem o controle do fck</t>
  </si>
  <si>
    <t>6.1/ 6.2/ 6.3</t>
  </si>
  <si>
    <t>O rejuntamento das placas cerâmicas deverão ser executados com argamassa industrializada para rejunte</t>
  </si>
  <si>
    <t>Os serviços de tubulação e fiação das instalações elétricas deverão ser executados e orientados por profissional competente e do ramo. O número de luminárias, interruptores e tomadas está indicado em planilha orçamentária anexa.
Deverá ser obedecida a norma NBR 5410 para a realização dos serviços.                                               Todos os eletrodutos deverão ser devidamente chumbados na parede e quando for necessário no piso deverão ser “envelopados” com concreto, sempre tomando cuidado para não deixar restos de argamassa ou concreto próximos às saídas ou entradas dos eletrodutos para não obstruí-los.
Os eletrodutos serão de PVC, flexível e de boa resistência, no mínimo diâmetro de ¾” e, quando necessário, usar diâmetros maiores.
Os condutores de distribuição serão de fio de cobre, isolação PVC 750V, BWF, com certificado do INMETRO com identificação NBR na capa, da marca Pirelli ou similar.
Deverá ser seguida a seguinte padronização de cores para os condutores:
FASE: qualquer cor, exceto azul e verde
NEUTRO: azul
TERRA: verde
Não serão aceitos, de forma alguma, condutores soltos e sem proteção (condutores expostos em caixas de passagem, etc).
Haverão circuitos separados para iluminação e força de cada compartimento.  As tomadas serão da marca Pial, ou similar do tipo 2P+T, e deverão contar com fio terra.  As bitolas dos cabos a ser usados serão definidas no projeto executivo, bem como o projeto de iluminação.</t>
  </si>
  <si>
    <t>APLICAÇÃO FINACEIRA</t>
  </si>
  <si>
    <r>
      <t xml:space="preserve">  42)  </t>
    </r>
    <r>
      <rPr>
        <b/>
        <sz val="10"/>
        <color theme="1"/>
        <rFont val="Times New Roman"/>
        <family val="1"/>
      </rPr>
      <t xml:space="preserve"> Data Base :  01/03/2017 - TOMADA DE PEÇO 11/2015</t>
    </r>
  </si>
  <si>
    <t>Revestimento em placa cerâmica esmaltada de 20x20 cm, tipo monocolor, assentado e rejuntado com argamassa industrializada</t>
  </si>
  <si>
    <t>Torneira de mesa para lavatório compacta, acionamento hidromecânico, em latão cromado, DN=1/2´</t>
  </si>
  <si>
    <t>Bacia sifonada de louça para pessoas com mobilidade reduzida - capacidade de 6 litros</t>
  </si>
  <si>
    <t>Porta lisa com batente em alumínio, largura 90 cm, altura de 105 a 200 cm</t>
  </si>
  <si>
    <t>15) Nome JULIANA CAMPOS DE PAIVA</t>
  </si>
  <si>
    <t>18) Profissão: Engenheira</t>
  </si>
  <si>
    <t>16) RG: 65.126.380-3</t>
  </si>
  <si>
    <t>17) CPF:894.811.861-72</t>
  </si>
  <si>
    <t>*</t>
  </si>
  <si>
    <t>19) Nº CREA: 5069295019</t>
  </si>
  <si>
    <t>20) Nº ART: xxx</t>
  </si>
  <si>
    <t>22) Telefone Comercial: 3713-9232</t>
  </si>
  <si>
    <t>23) Fax: 3713-9232</t>
  </si>
  <si>
    <r>
      <t xml:space="preserve">(      X    )     </t>
    </r>
    <r>
      <rPr>
        <b/>
        <u/>
        <sz val="10"/>
        <color theme="1"/>
        <rFont val="Times New Roman"/>
        <family val="1"/>
      </rPr>
      <t>NÃO HOUVE ALTERAÇÃO</t>
    </r>
    <r>
      <rPr>
        <b/>
        <sz val="10"/>
        <color theme="1"/>
        <rFont val="Times New Roman"/>
        <family val="1"/>
      </rPr>
      <t xml:space="preserve"> NO MEMORIAL DESCRITIVO DESDE A ASSINATURA DO CONVÊNIO.</t>
    </r>
  </si>
  <si>
    <r>
      <t xml:space="preserve">(       )    </t>
    </r>
    <r>
      <rPr>
        <b/>
        <u/>
        <sz val="10"/>
        <color theme="1"/>
        <rFont val="Times New Roman"/>
        <family val="1"/>
      </rPr>
      <t>HOUVE ALTERAÇÃO</t>
    </r>
    <r>
      <rPr>
        <b/>
        <sz val="10"/>
        <color theme="1"/>
        <rFont val="Times New Roman"/>
        <family val="1"/>
      </rPr>
      <t xml:space="preserve"> NO MEMORIAL DESCRITIVO. Preencher a tabela abaixo, detalhadamente.</t>
    </r>
  </si>
  <si>
    <t>JUSTIFICATIVA</t>
  </si>
  <si>
    <t>Incluido no ìtem 5.4 (revestimento com rejuntamento)</t>
  </si>
  <si>
    <t>Rejuntamento de cerâmica esmaltada de 20 x 20 cm com argamassa industrializada para rejunte, juntas até 3 mm.</t>
  </si>
  <si>
    <t>Prefeitura Municipal da Estância Turística de Paranapanema  31 de março de 2020</t>
  </si>
  <si>
    <t>José Maria Alves</t>
  </si>
  <si>
    <t>Juliana Campos de Paiva</t>
  </si>
  <si>
    <t>Engenheiro Civil - CREA 5069295019</t>
  </si>
  <si>
    <t>TOTAL GERAL Á EXECUTAR</t>
  </si>
  <si>
    <t>EXECUTADO E PAGO COM RECURSO DO ESTADO</t>
  </si>
  <si>
    <t>Á EXECUTAR COM RECURSO DO ESTADO</t>
  </si>
  <si>
    <t xml:space="preserve">AQUI TEM QUE DIVIDIR PROPORCIAL </t>
  </si>
  <si>
    <t>Acrílico para quadras e pisos cimentados - pintura</t>
  </si>
  <si>
    <t>Já medidos</t>
  </si>
  <si>
    <t>Esmalte a base de água em estrutura metálica</t>
  </si>
  <si>
    <t>RECURSO DO ESTADO</t>
  </si>
  <si>
    <t>Valor atualizado CPOS-178 cod:054.01.010</t>
  </si>
  <si>
    <t>Valor atualizado CPOS-178 cod:05.10.020</t>
  </si>
  <si>
    <t>Valor atualizado CPOS-178 cod:34.02.080</t>
  </si>
  <si>
    <t>Valor atualizado CPOS-178 cod:24.04.220</t>
  </si>
  <si>
    <t>Valor atualizado CPOS-178 cod:18.11.042</t>
  </si>
  <si>
    <t>Item não encontrado na CPOS-178. Valor original mantido.</t>
  </si>
  <si>
    <t>Valor atualizado CPOS-178 cod: 17.01.020</t>
  </si>
  <si>
    <t>Valor atualizado CPOS-178 cod: 54.01.010</t>
  </si>
  <si>
    <t>Valor atualizado CPOS-178 cod: 17.05.020</t>
  </si>
  <si>
    <t>Valor atualizado CPOS-178 cod: 33.06.020</t>
  </si>
  <si>
    <t>Valor atualizado CPOS-178 Cod.: 37.10.010</t>
  </si>
  <si>
    <t>Valor atualizado CPOS-178 Cod.: 38.19.030</t>
  </si>
  <si>
    <t>Valor atualizado CPOS-178 Cod.: 39.02.010</t>
  </si>
  <si>
    <t>Valor atualizado CPOS-178 Cod.: 39.02.016</t>
  </si>
  <si>
    <t>Valor atualizado CPOS-178 Cod.: 39.02.020</t>
  </si>
  <si>
    <t>Valor atualizado CPOS-178 Cod.: 38.19.220</t>
  </si>
  <si>
    <t>Valor atualizado CPOS-178 Cod.:37.13.600</t>
  </si>
  <si>
    <t>Valor atualizado CPOS-178 Cod.:40.05.080</t>
  </si>
  <si>
    <t>Valor atualizado CPOS-178 Cod.:40.04.450</t>
  </si>
  <si>
    <t>Valor atualizado CPOS-178 Cod.: 36.03.050</t>
  </si>
  <si>
    <t>Valor atualizado CPOS-178 Cod.: 44.03.480</t>
  </si>
  <si>
    <t>Valor atualizado CPOS-178 Cod.: 44.01.800</t>
  </si>
  <si>
    <t>Valor atualizado CPOS-178 Cod.: 44.01.110</t>
  </si>
  <si>
    <t>Valor atualizado CPOS-178 Cod.: 44.01.200</t>
  </si>
  <si>
    <t>Valor atualizado CPOS-178 Cod.: 30.08.060</t>
  </si>
  <si>
    <t>Valor atualizado CPOS-178 Cod.: 30.08.040</t>
  </si>
  <si>
    <t>Valor atualizado CPOS-178 Cod.: 30.01.080</t>
  </si>
  <si>
    <t>Valor atualizado CPOS-178 Cod.: 43.02.140</t>
  </si>
  <si>
    <t>Valor atualizado CPOS-178 Cod.: 44.03.210</t>
  </si>
  <si>
    <t>Valor atualizado CPOS-178 Cod.: 33.12.011</t>
  </si>
  <si>
    <t>Valor atualizado CPOS-178 Cod.: 33.10.050</t>
  </si>
  <si>
    <t>Valor atualizado CPOS-178 Cod.: 26.02.040</t>
  </si>
  <si>
    <t>Valor atualizado CPOS-178 Cod.: 23.09.440</t>
  </si>
  <si>
    <t>Valor atualizado CPOS-178 Cod.: 28.01.020</t>
  </si>
  <si>
    <t>Valor atualizado CPOS-178 Cod.: 23.09.560</t>
  </si>
  <si>
    <t>Valor atualizado CPOS-178 Cod.: 14.30.020</t>
  </si>
  <si>
    <t>Valor atualizado CPOS-178 Cod.: 23.09.420</t>
  </si>
  <si>
    <t>Valor atualizado CPOS-178 Cod.: 24.02.060</t>
  </si>
  <si>
    <t>Valor atualizado CPOS-178 Cod.: 33.07.102</t>
  </si>
  <si>
    <t>Valor atualizado CPOS-178 Cod.: 06.02.020</t>
  </si>
  <si>
    <t>Valor atualizado CPOS-178 Cod.: 12.01.020</t>
  </si>
  <si>
    <t>Valor atualizado CPOS-178 Cod.: 10.01.040</t>
  </si>
  <si>
    <t>Valor atualizado CPOS-178 Cod.: 11.01.100</t>
  </si>
  <si>
    <t>Valor atualizado CPOS-178 Cod.: 11.16.040</t>
  </si>
  <si>
    <t>Valor atualizado CPOS-178 Cod.: 03.02.040</t>
  </si>
  <si>
    <t>Valor atualizado CPOS-178 Cod.: 14.04.200</t>
  </si>
  <si>
    <t>Valor atualizado CPOS-178 Cod.: 11.16.060</t>
  </si>
  <si>
    <t>Valor atualizado CPOS-178 Cod.: 09.01.030</t>
  </si>
  <si>
    <t>Valor atualizado CPOS-178 Cod.: 17.02.020</t>
  </si>
  <si>
    <t>Valor atualizado CPOS-178 Cod.: 17.02.120</t>
  </si>
  <si>
    <t>10.2</t>
  </si>
  <si>
    <t>4.5.1</t>
  </si>
  <si>
    <t>5.4.1</t>
  </si>
  <si>
    <t>5.6.1</t>
  </si>
  <si>
    <t>5.7.1</t>
  </si>
  <si>
    <t>3.1.1</t>
  </si>
  <si>
    <t>3.2.1</t>
  </si>
  <si>
    <t>8.5.1</t>
  </si>
  <si>
    <t>Valor atualizado CPOS-184 cod: 54.01.010</t>
  </si>
  <si>
    <t>Valor atualizado CPOS-184 cod: 05.10.020</t>
  </si>
  <si>
    <t>Valor atualizado CPOS-184 cod: 34.02.080</t>
  </si>
  <si>
    <t>Valor atualizado CPOS-184 cod: 24.04.220</t>
  </si>
  <si>
    <t>Valor atualizado CPOS-184 cod: 18.11.042</t>
  </si>
  <si>
    <t>Valor atualizado CPOS-184 cod: 17.01.020</t>
  </si>
  <si>
    <t>Valor atualizado CPOS-184 cod: 17.05.020</t>
  </si>
  <si>
    <t>Valor atualizado CPOS-184 cod: 33.06.020</t>
  </si>
  <si>
    <t>Valor atualizado CPOS-184 Cod.: 37.10.010</t>
  </si>
  <si>
    <t>Valor atualizado CPOS-184 Cod.: 38.19.030</t>
  </si>
  <si>
    <t>Valor atualizado CPOS-184 Cod.: 38.19.220</t>
  </si>
  <si>
    <t>Valor atualizado CPOS-184 Cod.: 39.02.010</t>
  </si>
  <si>
    <t>Valor atualizado CPOS-184 Cod.: 39.02.016</t>
  </si>
  <si>
    <t>Valor atualizado CPOS-184 Cod.: 39.02.020</t>
  </si>
  <si>
    <t>Valor atualizado CPOS-184 Cod.:37.13.600</t>
  </si>
  <si>
    <t>Valor atualizado CPOS-184 Cod.:40.05.080</t>
  </si>
  <si>
    <t>Valor atualizado CPOS-184 Cod.:40.04.450</t>
  </si>
  <si>
    <t>Valor atualizado CPOS-184 Cod.: 36.03.050</t>
  </si>
  <si>
    <t>Caixa de medição externa tipo ´N´ (1300 x 1200 x 270) mm, padrão Concessionária</t>
  </si>
  <si>
    <t>Valor atualizado CPOS-184 Cod.: 44.03.480</t>
  </si>
  <si>
    <t>Valor atualizado CPOS-184 Cod.: 44.01.800</t>
  </si>
  <si>
    <t>Valor atualizado CPOS-184 Cod.: 44.01.110</t>
  </si>
  <si>
    <t>Valor atualizado CPOS-184 Cod.: 44.01.200</t>
  </si>
  <si>
    <t>Valor atualizado CPOS-184 Cod.: 30.08.060</t>
  </si>
  <si>
    <t>Valor atualizado CPOS-184 Cod.: 30.08.040</t>
  </si>
  <si>
    <t>Valor atualizado CPOS-184 Cod.: 30.01.080</t>
  </si>
  <si>
    <t>Valor atualizado CPOS-184 Cod.: 43.02.140</t>
  </si>
  <si>
    <t>Valor atualizado CPOS-184 Cod.: 44.03.210</t>
  </si>
  <si>
    <t>Esmalte a base de água em madeira, inclusive preparo</t>
  </si>
  <si>
    <t>Valor atualizado CPOS-184 Cod.: 33.12.011</t>
  </si>
  <si>
    <t>Valor atualizado CPOS-184 Cod.: 33.10.050</t>
  </si>
  <si>
    <t>Valor atualizado CPOS-184 Cod.: 26.02.040</t>
  </si>
  <si>
    <t>Valor atualizado CPOS-184 Cod.: 23.09.440</t>
  </si>
  <si>
    <t>Valor atualizado CPOS-184 Cod.: 28.01.020</t>
  </si>
  <si>
    <t>Valor atualizado CPOS-184 Cod.: 23.09.560</t>
  </si>
  <si>
    <t>Valor atualizado CPOS-184 Cod.: 14.30.020</t>
  </si>
  <si>
    <t>Porta lisa com batente em alumínio, largura 60 cm, altura de 105 a 200 cm</t>
  </si>
  <si>
    <t>Valor atualizado CPOS-184 Cod.: 23.09.420</t>
  </si>
  <si>
    <t>Valor atualizado CPOS-184 Cod.: 24.02.060</t>
  </si>
  <si>
    <t>Valor atualizado CPOS-184 Cod.: 33.07.102</t>
  </si>
  <si>
    <t>Valor atualizado CPOS-184 Cod.: 06.02.020</t>
  </si>
  <si>
    <t>Valor atualizado CPOS-184 Cod.: 12.01.021</t>
  </si>
  <si>
    <t>Valor atualizado CPOS-184 Cod.: 10.01.040</t>
  </si>
  <si>
    <t>Valor atualizado CPOS-184 Cod.: 11.01.100</t>
  </si>
  <si>
    <t>Valor atualizado CPOS-184 Cod.: 11.16.040</t>
  </si>
  <si>
    <t>Valor atualizado CPOS-184 Cod.: 03.02.040</t>
  </si>
  <si>
    <t>Valor atualizado CPOS-184 Cod.: 14.04.200</t>
  </si>
  <si>
    <t>Valor atualizado CPOS-184 Cod.: 11.16.060</t>
  </si>
  <si>
    <t>Valor atualizado CPOS-184 Cod.: 09.01.030</t>
  </si>
  <si>
    <t>Valor atualizado CPOS-184 Cod.: 17.02.020</t>
  </si>
  <si>
    <t>Valor atualizado CPOS-184 Cod.: 17.02.120</t>
  </si>
  <si>
    <t>1.6</t>
  </si>
  <si>
    <t>unid.</t>
  </si>
  <si>
    <t>Projeto executivo de arquitetura Tamanho A1</t>
  </si>
  <si>
    <t>Valor CPOS-184 cod: 01.17.031</t>
  </si>
  <si>
    <t>Valor Unitário (atualizado)</t>
  </si>
  <si>
    <t>Projeto executivo de instalações hidraulicas formato A1</t>
  </si>
  <si>
    <t>Valor CPOS-184 Cod.: 01.17.071</t>
  </si>
  <si>
    <t>Projeto executivo de instalações elétricas formato A1</t>
  </si>
  <si>
    <t>Valor CPOS-184 Cod.: 01.17.111</t>
  </si>
  <si>
    <t>Já executado</t>
  </si>
  <si>
    <t>LICITAÇÃO 2022</t>
  </si>
  <si>
    <t>10) Nome RODOLFO HESSEL GANGANIELLO</t>
  </si>
  <si>
    <t xml:space="preserve">01/01/2021    à   31/12/2024                             </t>
  </si>
  <si>
    <r>
      <t xml:space="preserve">(X)    </t>
    </r>
    <r>
      <rPr>
        <b/>
        <u/>
        <sz val="10"/>
        <color theme="1"/>
        <rFont val="Times New Roman"/>
        <family val="1"/>
      </rPr>
      <t>HOUVE ALTERAÇÃO</t>
    </r>
    <r>
      <rPr>
        <b/>
        <sz val="10"/>
        <color theme="1"/>
        <rFont val="Times New Roman"/>
        <family val="1"/>
      </rPr>
      <t xml:space="preserve"> NO MEMORIAL DESCRITIVO. Preencher a tabela abaixo, detalhadamente.</t>
    </r>
  </si>
  <si>
    <r>
      <t xml:space="preserve">(    )     </t>
    </r>
    <r>
      <rPr>
        <b/>
        <u/>
        <sz val="10"/>
        <color theme="1"/>
        <rFont val="Times New Roman"/>
        <family val="1"/>
      </rPr>
      <t>NÃO HOUVE ALTERAÇÃO</t>
    </r>
    <r>
      <rPr>
        <b/>
        <sz val="10"/>
        <color theme="1"/>
        <rFont val="Times New Roman"/>
        <family val="1"/>
      </rPr>
      <t xml:space="preserve"> NO MEMORIAL DESCRITIVO DESDE A ASSINATURA DO CONVÊNIO.</t>
    </r>
  </si>
  <si>
    <t>A Empreiteira é responsável pela apresentação de todos os projetos executivos antes do início das atividades. Os serviços de tubulação e fiação das instalações elétricas deverão ser executados e orientados por profissional competente e do ramo. O número de luminárias, interruptores e tomadas está indicado em planilha orçamentária anexa.
Deverá ser obedecida a norma NBR 5410 para a realização dos serviços.                                               Todos os eletrodutos deverão ser devidamente chumbados na parede e quando for necessário no piso deverão ser “envelopados” com concreto, sempre tomando cuidado para não deixar restos de argamassa ou concreto próximos às saídas ou entradas dos eletrodutos para não obstruí-los.
Os eletrodutos serão de PVC, flexível e de boa resistência, no mínimo diâmetro de ¾” e, quando necessário, usar diâmetros maiores.
Os condutores de distribuição serão de fio de cobre, isolação PVC 750V, BWF, com certificado do INMETRO com identificação NBR na capa, da marca Pirelli ou similar.
Deverá ser seguida a seguinte padronização de cores para os condutores:
FASE: qualquer cor, exceto azul e verde
NEUTRO: azul
TERRA: verde
Não serão aceitos, de forma alguma, condutores soltos e sem proteção (condutores expostos em caixas de passagem, etc).
Haverão circuitos separados para iluminação e força de cada compartimento.  As tomadas serão da marca Pial, ou similar do tipo 2P+T, e deverão contar com fio terra.  As bitolas dos cabos a ser usados serão definidas no projeto executivo, bem como o projeto de iluminação.</t>
  </si>
  <si>
    <t>A Empreiteira é responsável pela apresentação de todos os projetos executivos antes do início das atividades. Além de toda tubulação necessária para a operação e higienização da piscina, deverá ser instalado um conjunto de Filtro FVP 120 Sodramar,moto bomba BMS 300 3 cv acessórios e instalação, ou similar.</t>
  </si>
  <si>
    <t>8) Telefone: 3713-9238</t>
  </si>
  <si>
    <t xml:space="preserve">9) Fax: </t>
  </si>
  <si>
    <t>11) RG: 34.890.224-4</t>
  </si>
  <si>
    <t>12) CPF: 352.149.998-79</t>
  </si>
  <si>
    <t xml:space="preserve">24) email:                                                                               dpconv@paranapanema.sp.gov.br </t>
  </si>
  <si>
    <t>Rodolfo Hessel Fanganiello</t>
  </si>
  <si>
    <t>Prefeito Municipal</t>
  </si>
  <si>
    <t xml:space="preserve">51)  DECLARAÇÃO (“Obra em Andamento”)
Declaramos que o início das obras foi em 16/12/2015 e a previsão de término em 15/12/2022.  
                                                          </t>
  </si>
  <si>
    <t>LICITAÇÃO</t>
  </si>
  <si>
    <r>
      <t xml:space="preserve">  42)  </t>
    </r>
    <r>
      <rPr>
        <b/>
        <sz val="10"/>
        <color theme="1"/>
        <rFont val="Times New Roman"/>
        <family val="1"/>
      </rPr>
      <t xml:space="preserve"> Data Base :  01/03/2017 - </t>
    </r>
  </si>
  <si>
    <t>Prefeitura Municipal da Estância Turística de Paranapanema</t>
  </si>
  <si>
    <t>Secretaria de Obras</t>
  </si>
  <si>
    <t>Departamento de Engenharia</t>
  </si>
  <si>
    <t>SERVIÇOS</t>
  </si>
  <si>
    <t>MÊS 01</t>
  </si>
  <si>
    <t>MÊS 02</t>
  </si>
  <si>
    <t>MÊS 03</t>
  </si>
  <si>
    <t>MÊS 04</t>
  </si>
  <si>
    <t>MÊS 05</t>
  </si>
  <si>
    <t>MÊS 06</t>
  </si>
  <si>
    <t>PLANILHA</t>
  </si>
  <si>
    <t>ADITIVO</t>
  </si>
  <si>
    <t>JULIANA CAMPOS DE PAIVA</t>
  </si>
  <si>
    <t>RESPONSAVEL TECNICO CREA-SP: 5069295019</t>
  </si>
  <si>
    <t>OBJETO: SERVIÇOS REMANESCENTES - CONSTRUÇÃO DE PISCINA SEMI-OLIMPICA</t>
  </si>
  <si>
    <t xml:space="preserve">LOCAL: RUA BENEDITO DE OLIVEIRA MELO </t>
  </si>
  <si>
    <t xml:space="preserve">PISCINA ADULTO E INFANTIL </t>
  </si>
  <si>
    <t>VESTIÁRIO MASCULINO E FEMININO</t>
  </si>
  <si>
    <t>MURO</t>
  </si>
  <si>
    <t>Total</t>
  </si>
  <si>
    <r>
      <t>CRONOGRAMA FÍSICO-FINANCEIRO (</t>
    </r>
    <r>
      <rPr>
        <sz val="14"/>
        <color theme="1"/>
        <rFont val="Times New Roman"/>
        <family val="1"/>
      </rPr>
      <t>uso exclusivo para licitação e obra)</t>
    </r>
  </si>
  <si>
    <t>Prefeitura Municipal da Estância Turística de Paranapanema  21 de fevereiro de 2022</t>
  </si>
  <si>
    <t>ATUALIZAÇÃO DE VALORES</t>
  </si>
</sst>
</file>

<file path=xl/styles.xml><?xml version="1.0" encoding="utf-8"?>
<styleSheet xmlns="http://schemas.openxmlformats.org/spreadsheetml/2006/main">
  <numFmts count="15">
    <numFmt numFmtId="7" formatCode="&quot;R$&quot;\ #,##0.00;\-&quot;R$&quot;\ #,##0.00"/>
    <numFmt numFmtId="8" formatCode="&quot;R$&quot;\ #,##0.00;[Red]\-&quot;R$&quot;\ #,##0.00"/>
    <numFmt numFmtId="44" formatCode="_-&quot;R$&quot;\ * #,##0.00_-;\-&quot;R$&quot;\ * #,##0.00_-;_-&quot;R$&quot;\ * &quot;-&quot;??_-;_-@_-"/>
    <numFmt numFmtId="43" formatCode="_-* #,##0.00_-;\-* #,##0.00_-;_-* &quot;-&quot;??_-;_-@_-"/>
    <numFmt numFmtId="164" formatCode="&quot;R$&quot;\ #,##0.00;[Red]&quot;R$&quot;\ \-#,##0.00"/>
    <numFmt numFmtId="165" formatCode="_ &quot;R$&quot;\ * #,##0.00_ ;_ &quot;R$&quot;\ * \-#,##0.00_ ;_ &quot;R$&quot;\ * &quot;-&quot;??_ ;_ @_ "/>
    <numFmt numFmtId="166" formatCode="_(* #,##0.00_);_(* \(#,##0.00\);_(* &quot;-&quot;??_);_(@_)"/>
    <numFmt numFmtId="167" formatCode="#,##0.00_ ;[Red]\-#,##0.00\ "/>
    <numFmt numFmtId="168" formatCode="_(&quot;R$&quot;* #,##0.00_);_(&quot;R$&quot;* \(#,##0.00\);_(&quot;R$&quot;* &quot;-&quot;??_);_(@_)"/>
    <numFmt numFmtId="169" formatCode="_(&quot;R$ &quot;* #,##0.00_);_(&quot;R$ &quot;* \(#,##0.00\);_(&quot;R$ &quot;* &quot;-&quot;??_);_(@_)"/>
    <numFmt numFmtId="170" formatCode="_-[$R$-416]\ * #,##0.00_-;\-[$R$-416]\ * #,##0.00_-;_-[$R$-416]\ * &quot;-&quot;??_-;_-@_-"/>
    <numFmt numFmtId="171" formatCode="#,##0.0"/>
    <numFmt numFmtId="172" formatCode="&quot;R$&quot;\ #,##0.00"/>
    <numFmt numFmtId="173" formatCode="&quot;R$&quot;\ #,##0.0000"/>
    <numFmt numFmtId="174" formatCode="#,##0.00\ ;\-#,##0.00\ ;&quot; -&quot;#\ ;@\ "/>
  </numFmts>
  <fonts count="47">
    <font>
      <sz val="11"/>
      <color theme="1"/>
      <name val="Calibri"/>
      <family val="2"/>
      <scheme val="minor"/>
    </font>
    <font>
      <sz val="11"/>
      <color theme="1"/>
      <name val="Calibri"/>
      <family val="2"/>
      <scheme val="minor"/>
    </font>
    <font>
      <b/>
      <sz val="9"/>
      <color indexed="81"/>
      <name val="Tahoma"/>
      <family val="2"/>
    </font>
    <font>
      <sz val="9"/>
      <name val="Times New Roman"/>
      <family val="1"/>
    </font>
    <font>
      <b/>
      <sz val="9"/>
      <name val="Times New Roman"/>
      <family val="1"/>
    </font>
    <font>
      <sz val="9"/>
      <color rgb="FF000000"/>
      <name val="Times New Roman"/>
      <family val="1"/>
    </font>
    <font>
      <b/>
      <sz val="9"/>
      <color theme="1"/>
      <name val="Times New Roman"/>
      <family val="1"/>
    </font>
    <font>
      <sz val="9"/>
      <color theme="1"/>
      <name val="Times New Roman"/>
      <family val="1"/>
    </font>
    <font>
      <sz val="11"/>
      <color theme="1"/>
      <name val="Times New Roman"/>
      <family val="1"/>
    </font>
    <font>
      <b/>
      <sz val="11"/>
      <color theme="1"/>
      <name val="Times New Roman"/>
      <family val="1"/>
    </font>
    <font>
      <sz val="10"/>
      <color theme="1"/>
      <name val="Times New Roman"/>
      <family val="1"/>
    </font>
    <font>
      <u/>
      <sz val="12.65"/>
      <color theme="10"/>
      <name val="Calibri"/>
      <family val="2"/>
    </font>
    <font>
      <sz val="9"/>
      <color theme="1"/>
      <name val="Calibri"/>
      <family val="2"/>
      <scheme val="minor"/>
    </font>
    <font>
      <sz val="9"/>
      <name val="Calibri"/>
      <family val="2"/>
      <scheme val="minor"/>
    </font>
    <font>
      <sz val="9"/>
      <color rgb="FFFF0000"/>
      <name val="Times New Roman"/>
      <family val="1"/>
    </font>
    <font>
      <sz val="10"/>
      <name val="Arial"/>
      <family val="2"/>
    </font>
    <font>
      <sz val="10"/>
      <name val="Times New Roman"/>
      <family val="1"/>
    </font>
    <font>
      <b/>
      <sz val="10"/>
      <color theme="1"/>
      <name val="Times New Roman"/>
      <family val="1"/>
    </font>
    <font>
      <b/>
      <u/>
      <sz val="10"/>
      <color theme="1"/>
      <name val="Times New Roman"/>
      <family val="1"/>
    </font>
    <font>
      <u/>
      <sz val="10"/>
      <name val="Times New Roman"/>
      <family val="1"/>
    </font>
    <font>
      <b/>
      <sz val="10"/>
      <name val="Times New Roman"/>
      <family val="1"/>
    </font>
    <font>
      <sz val="10"/>
      <color rgb="FF000000"/>
      <name val="Times New Roman"/>
      <family val="1"/>
    </font>
    <font>
      <sz val="10"/>
      <color theme="1"/>
      <name val="Calibri"/>
      <family val="2"/>
      <scheme val="minor"/>
    </font>
    <font>
      <sz val="10"/>
      <name val="Calibri"/>
      <family val="2"/>
      <scheme val="minor"/>
    </font>
    <font>
      <sz val="10"/>
      <color indexed="8"/>
      <name val="MS Sans Serif"/>
      <family val="2"/>
    </font>
    <font>
      <b/>
      <sz val="31"/>
      <name val="Times New Roman"/>
      <family val="1"/>
    </font>
    <font>
      <b/>
      <sz val="36"/>
      <name val="Times New Roman"/>
      <family val="1"/>
    </font>
    <font>
      <b/>
      <sz val="18"/>
      <name val="Times New Roman"/>
      <family val="1"/>
    </font>
    <font>
      <sz val="10"/>
      <color rgb="FFFF0000"/>
      <name val="Times New Roman"/>
      <family val="1"/>
    </font>
    <font>
      <sz val="12"/>
      <color theme="1"/>
      <name val="Calibri"/>
      <family val="2"/>
      <scheme val="minor"/>
    </font>
    <font>
      <b/>
      <sz val="12"/>
      <name val="Times New Roman"/>
      <family val="1"/>
    </font>
    <font>
      <sz val="12"/>
      <color theme="1"/>
      <name val="Times New Roman"/>
      <family val="1"/>
    </font>
    <font>
      <b/>
      <sz val="12"/>
      <color theme="1"/>
      <name val="Times New Roman"/>
      <family val="1"/>
    </font>
    <font>
      <u/>
      <sz val="12"/>
      <name val="Times New Roman"/>
      <family val="1"/>
    </font>
    <font>
      <sz val="12"/>
      <name val="Times New Roman"/>
      <family val="1"/>
    </font>
    <font>
      <sz val="11"/>
      <color theme="0"/>
      <name val="Calibri"/>
      <family val="2"/>
      <scheme val="minor"/>
    </font>
    <font>
      <b/>
      <sz val="28"/>
      <color theme="1"/>
      <name val="Times New Roman"/>
      <family val="1"/>
    </font>
    <font>
      <b/>
      <sz val="14"/>
      <color theme="1"/>
      <name val="Times New Roman"/>
      <family val="1"/>
    </font>
    <font>
      <sz val="14"/>
      <color theme="1"/>
      <name val="Times New Roman"/>
      <family val="1"/>
    </font>
    <font>
      <b/>
      <sz val="13"/>
      <color theme="1"/>
      <name val="Times New Roman"/>
      <family val="1"/>
    </font>
    <font>
      <sz val="14"/>
      <color theme="1"/>
      <name val="Calibri"/>
      <family val="2"/>
      <scheme val="minor"/>
    </font>
    <font>
      <b/>
      <sz val="14"/>
      <color indexed="8"/>
      <name val="Times New Roman"/>
      <family val="1"/>
    </font>
    <font>
      <sz val="11"/>
      <color indexed="8"/>
      <name val="Calibri"/>
      <family val="2"/>
      <scheme val="minor"/>
    </font>
    <font>
      <sz val="10"/>
      <name val="Mangal"/>
      <family val="2"/>
    </font>
    <font>
      <sz val="13"/>
      <color theme="1"/>
      <name val="Times New Roman"/>
      <family val="1"/>
    </font>
    <font>
      <sz val="10"/>
      <color theme="0"/>
      <name val="Times New Roman"/>
      <family val="1"/>
    </font>
    <font>
      <b/>
      <sz val="10"/>
      <color theme="0"/>
      <name val="Times New Roman"/>
      <family val="1"/>
    </font>
  </fonts>
  <fills count="12">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E0E0E0"/>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thin">
        <color indexed="64"/>
      </top>
      <bottom/>
      <diagonal/>
    </border>
    <border>
      <left style="thin">
        <color indexed="64"/>
      </left>
      <right style="thick">
        <color indexed="64"/>
      </right>
      <top/>
      <bottom/>
      <diagonal/>
    </border>
    <border>
      <left/>
      <right style="thin">
        <color indexed="64"/>
      </right>
      <top style="thin">
        <color indexed="64"/>
      </top>
      <bottom style="thick">
        <color indexed="64"/>
      </bottom>
      <diagonal/>
    </border>
    <border>
      <left style="thin">
        <color rgb="FF000000"/>
      </left>
      <right style="thin">
        <color rgb="FF000000"/>
      </right>
      <top style="thin">
        <color rgb="FF000000"/>
      </top>
      <bottom style="thin">
        <color rgb="FF000000"/>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diagonal/>
    </border>
    <border>
      <left style="thick">
        <color indexed="64"/>
      </left>
      <right/>
      <top style="thick">
        <color indexed="64"/>
      </top>
      <bottom style="thin">
        <color indexed="64"/>
      </bottom>
      <diagonal/>
    </border>
    <border>
      <left style="thick">
        <color indexed="64"/>
      </left>
      <right style="thin">
        <color indexed="64"/>
      </right>
      <top/>
      <bottom/>
      <diagonal/>
    </border>
    <border>
      <left style="thin">
        <color indexed="64"/>
      </left>
      <right style="thin">
        <color indexed="64"/>
      </right>
      <top/>
      <bottom style="thick">
        <color indexed="64"/>
      </bottom>
      <diagonal/>
    </border>
    <border>
      <left style="thick">
        <color indexed="64"/>
      </left>
      <right/>
      <top style="thin">
        <color indexed="64"/>
      </top>
      <bottom style="thick">
        <color indexed="64"/>
      </bottom>
      <diagonal/>
    </border>
    <border>
      <left style="thick">
        <color indexed="64"/>
      </left>
      <right style="thin">
        <color indexed="64"/>
      </right>
      <top/>
      <bottom style="thick">
        <color indexed="64"/>
      </bottom>
      <diagonal/>
    </border>
    <border>
      <left/>
      <right style="thin">
        <color indexed="64"/>
      </right>
      <top style="thick">
        <color indexed="64"/>
      </top>
      <bottom style="thin">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ck">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ck">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s>
  <cellStyleXfs count="11">
    <xf numFmtId="0" fontId="0" fillId="0" borderId="0"/>
    <xf numFmtId="165" fontId="1" fillId="0" borderId="0" applyFont="0" applyFill="0" applyBorder="0" applyAlignment="0" applyProtection="0"/>
    <xf numFmtId="0" fontId="11" fillId="0" borderId="0" applyNumberFormat="0" applyFill="0" applyBorder="0" applyAlignment="0" applyProtection="0">
      <alignment vertical="top"/>
      <protection locked="0"/>
    </xf>
    <xf numFmtId="0" fontId="24" fillId="0" borderId="0"/>
    <xf numFmtId="9" fontId="1" fillId="0" borderId="0" applyFont="0" applyFill="0" applyBorder="0" applyAlignment="0" applyProtection="0"/>
    <xf numFmtId="44" fontId="1" fillId="0" borderId="0" applyFont="0" applyFill="0" applyBorder="0" applyAlignment="0" applyProtection="0"/>
    <xf numFmtId="0" fontId="42" fillId="0" borderId="0"/>
    <xf numFmtId="0" fontId="15" fillId="0" borderId="0"/>
    <xf numFmtId="9" fontId="15" fillId="0" borderId="0" applyFont="0" applyFill="0" applyBorder="0" applyAlignment="0" applyProtection="0"/>
    <xf numFmtId="43" fontId="42" fillId="0" borderId="0" applyFont="0" applyFill="0" applyBorder="0" applyAlignment="0" applyProtection="0"/>
    <xf numFmtId="174" fontId="43" fillId="0" borderId="0" applyFill="0" applyBorder="0" applyAlignment="0" applyProtection="0"/>
  </cellStyleXfs>
  <cellXfs count="1788">
    <xf numFmtId="0" fontId="0" fillId="0" borderId="0" xfId="0"/>
    <xf numFmtId="0" fontId="3" fillId="0" borderId="7" xfId="0" applyFont="1" applyBorder="1" applyAlignment="1">
      <alignment horizontal="center" vertical="center"/>
    </xf>
    <xf numFmtId="0" fontId="3" fillId="0" borderId="1" xfId="0" applyFont="1" applyBorder="1" applyAlignment="1">
      <alignment horizontal="center" vertical="center"/>
    </xf>
    <xf numFmtId="8" fontId="3" fillId="0" borderId="1" xfId="1" applyNumberFormat="1" applyFont="1" applyBorder="1" applyAlignment="1">
      <alignment horizontal="center" vertical="center"/>
    </xf>
    <xf numFmtId="166" fontId="3" fillId="0" borderId="7" xfId="0" applyNumberFormat="1" applyFont="1" applyBorder="1" applyAlignment="1">
      <alignment horizontal="center" vertical="center"/>
    </xf>
    <xf numFmtId="4" fontId="3" fillId="0" borderId="7" xfId="0" applyNumberFormat="1" applyFont="1" applyBorder="1" applyAlignment="1">
      <alignment horizontal="center" vertical="center"/>
    </xf>
    <xf numFmtId="4" fontId="3" fillId="0" borderId="8" xfId="0" applyNumberFormat="1" applyFont="1" applyBorder="1" applyAlignment="1">
      <alignment horizontal="center" vertical="center"/>
    </xf>
    <xf numFmtId="2" fontId="3" fillId="0" borderId="1" xfId="0" applyNumberFormat="1" applyFont="1" applyBorder="1" applyAlignment="1">
      <alignment horizontal="center" vertical="center"/>
    </xf>
    <xf numFmtId="8" fontId="3" fillId="0" borderId="2" xfId="0" applyNumberFormat="1" applyFont="1" applyBorder="1" applyAlignment="1">
      <alignment horizontal="center" vertical="center"/>
    </xf>
    <xf numFmtId="4" fontId="3" fillId="0" borderId="1" xfId="0" applyNumberFormat="1" applyFont="1" applyBorder="1" applyAlignment="1">
      <alignment horizontal="center" vertical="center"/>
    </xf>
    <xf numFmtId="0" fontId="3" fillId="0" borderId="3" xfId="0" applyFont="1" applyBorder="1" applyAlignment="1">
      <alignment horizontal="center" vertical="center"/>
    </xf>
    <xf numFmtId="0" fontId="8" fillId="0" borderId="0" xfId="0" applyFont="1"/>
    <xf numFmtId="8" fontId="3" fillId="0" borderId="1" xfId="0" applyNumberFormat="1" applyFont="1" applyBorder="1" applyAlignment="1">
      <alignment horizontal="center" vertical="center"/>
    </xf>
    <xf numFmtId="8" fontId="3" fillId="3" borderId="1" xfId="0" applyNumberFormat="1" applyFont="1" applyFill="1" applyBorder="1" applyAlignment="1">
      <alignment horizontal="center" vertical="center"/>
    </xf>
    <xf numFmtId="166" fontId="3" fillId="0" borderId="1" xfId="0" applyNumberFormat="1" applyFont="1" applyBorder="1" applyAlignment="1">
      <alignment horizontal="center" vertical="center"/>
    </xf>
    <xf numFmtId="167" fontId="3" fillId="0" borderId="1" xfId="0" applyNumberFormat="1" applyFont="1" applyBorder="1" applyAlignment="1">
      <alignment horizontal="center" vertical="center"/>
    </xf>
    <xf numFmtId="0" fontId="10" fillId="0" borderId="0" xfId="0" applyFont="1"/>
    <xf numFmtId="0" fontId="10" fillId="0" borderId="0" xfId="0" applyFont="1" applyAlignment="1">
      <alignment vertical="center"/>
    </xf>
    <xf numFmtId="0" fontId="10" fillId="0" borderId="0" xfId="0" applyFont="1" applyBorder="1"/>
    <xf numFmtId="0" fontId="7" fillId="0" borderId="1" xfId="0" applyFont="1" applyBorder="1" applyAlignment="1">
      <alignment horizontal="center" vertical="center"/>
    </xf>
    <xf numFmtId="0" fontId="7" fillId="0" borderId="12" xfId="0" applyFont="1" applyBorder="1" applyAlignment="1">
      <alignment horizontal="center" vertical="center" wrapText="1"/>
    </xf>
    <xf numFmtId="0" fontId="6" fillId="0" borderId="7" xfId="0" applyFont="1" applyBorder="1" applyAlignment="1">
      <alignment horizontal="center" vertical="center" wrapText="1"/>
    </xf>
    <xf numFmtId="0" fontId="6" fillId="5" borderId="1" xfId="0" applyFont="1" applyFill="1" applyBorder="1" applyAlignment="1">
      <alignment horizontal="center" vertical="center" wrapText="1"/>
    </xf>
    <xf numFmtId="8" fontId="4" fillId="5" borderId="1" xfId="0" applyNumberFormat="1" applyFont="1" applyFill="1" applyBorder="1" applyAlignment="1">
      <alignment horizontal="center" vertical="center"/>
    </xf>
    <xf numFmtId="0" fontId="7" fillId="5" borderId="1" xfId="0" applyFont="1" applyFill="1" applyBorder="1" applyAlignment="1">
      <alignment horizontal="center" vertical="center"/>
    </xf>
    <xf numFmtId="0" fontId="7" fillId="5" borderId="3" xfId="0" applyFont="1" applyFill="1" applyBorder="1" applyAlignment="1">
      <alignment horizontal="center" vertical="top" wrapText="1"/>
    </xf>
    <xf numFmtId="0" fontId="7" fillId="5" borderId="3" xfId="0" applyFont="1" applyFill="1" applyBorder="1" applyAlignment="1">
      <alignment horizontal="center" vertical="center"/>
    </xf>
    <xf numFmtId="0" fontId="7" fillId="0" borderId="3" xfId="0" applyFont="1" applyBorder="1" applyAlignment="1">
      <alignment horizontal="center" vertical="center"/>
    </xf>
    <xf numFmtId="0" fontId="7" fillId="0" borderId="10" xfId="0" applyFont="1" applyBorder="1" applyAlignment="1">
      <alignment horizontal="center" vertical="top" wrapText="1"/>
    </xf>
    <xf numFmtId="166" fontId="3" fillId="5" borderId="7" xfId="0" applyNumberFormat="1" applyFont="1" applyFill="1" applyBorder="1" applyAlignment="1">
      <alignment horizontal="center" vertical="center"/>
    </xf>
    <xf numFmtId="0" fontId="3" fillId="5" borderId="7" xfId="0" applyFont="1" applyFill="1" applyBorder="1" applyAlignment="1">
      <alignment horizontal="center" vertical="center"/>
    </xf>
    <xf numFmtId="8" fontId="3" fillId="5" borderId="2" xfId="0" applyNumberFormat="1" applyFont="1" applyFill="1" applyBorder="1" applyAlignment="1">
      <alignment horizontal="center" vertical="center"/>
    </xf>
    <xf numFmtId="0" fontId="7" fillId="0" borderId="9" xfId="0" applyFont="1" applyBorder="1" applyAlignment="1">
      <alignment horizontal="center" vertical="top" wrapText="1"/>
    </xf>
    <xf numFmtId="0" fontId="7" fillId="0" borderId="11" xfId="0" applyFont="1" applyBorder="1" applyAlignment="1">
      <alignment horizontal="center" vertical="top" wrapText="1"/>
    </xf>
    <xf numFmtId="0" fontId="7" fillId="4" borderId="2" xfId="0" applyFont="1" applyFill="1" applyBorder="1" applyAlignment="1">
      <alignment horizontal="left" vertical="center"/>
    </xf>
    <xf numFmtId="0" fontId="12" fillId="0" borderId="0" xfId="0" applyFont="1" applyAlignment="1">
      <alignment horizontal="center" vertical="center"/>
    </xf>
    <xf numFmtId="0" fontId="7" fillId="0" borderId="19" xfId="0" applyFont="1" applyBorder="1" applyAlignment="1">
      <alignment horizontal="center" vertical="center" wrapText="1"/>
    </xf>
    <xf numFmtId="0" fontId="3" fillId="0" borderId="0" xfId="0" applyFont="1" applyBorder="1" applyAlignment="1">
      <alignment horizontal="center"/>
    </xf>
    <xf numFmtId="0" fontId="3" fillId="0" borderId="0" xfId="0" applyFont="1" applyBorder="1" applyAlignment="1">
      <alignment horizontal="center" vertical="center"/>
    </xf>
    <xf numFmtId="0" fontId="3" fillId="0" borderId="14" xfId="0" applyFont="1" applyBorder="1" applyAlignment="1">
      <alignment horizontal="left" vertical="center" wrapText="1"/>
    </xf>
    <xf numFmtId="0" fontId="3" fillId="0" borderId="0" xfId="0" applyFont="1" applyBorder="1" applyAlignment="1">
      <alignment horizontal="left" vertical="center" wrapText="1"/>
    </xf>
    <xf numFmtId="0" fontId="3" fillId="0" borderId="12" xfId="0" applyFont="1" applyBorder="1" applyAlignment="1">
      <alignment horizontal="center" vertical="top" wrapText="1"/>
    </xf>
    <xf numFmtId="0" fontId="3"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5" borderId="1" xfId="0" applyFont="1" applyFill="1" applyBorder="1" applyAlignment="1">
      <alignment horizontal="center" vertical="top" wrapText="1"/>
    </xf>
    <xf numFmtId="0" fontId="4"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2" fontId="3" fillId="5" borderId="1" xfId="0" applyNumberFormat="1" applyFont="1" applyFill="1" applyBorder="1" applyAlignment="1">
      <alignment horizontal="center" vertical="top" wrapText="1"/>
    </xf>
    <xf numFmtId="0" fontId="3" fillId="5" borderId="1" xfId="0" applyFont="1" applyFill="1" applyBorder="1" applyAlignment="1">
      <alignment horizontal="center" vertical="center"/>
    </xf>
    <xf numFmtId="2" fontId="3" fillId="0" borderId="7" xfId="0" applyNumberFormat="1"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top" wrapText="1"/>
    </xf>
    <xf numFmtId="0" fontId="3" fillId="5" borderId="1" xfId="0" applyFont="1" applyFill="1" applyBorder="1" applyAlignment="1">
      <alignment horizontal="center" vertical="top" wrapText="1"/>
    </xf>
    <xf numFmtId="0" fontId="3" fillId="5" borderId="3" xfId="0" applyFont="1" applyFill="1" applyBorder="1" applyAlignment="1">
      <alignment horizontal="center" vertical="top" wrapText="1"/>
    </xf>
    <xf numFmtId="0" fontId="3" fillId="5" borderId="3" xfId="0" applyFont="1" applyFill="1" applyBorder="1" applyAlignment="1">
      <alignment horizontal="center" vertical="center"/>
    </xf>
    <xf numFmtId="0" fontId="3" fillId="0" borderId="3" xfId="0" applyFont="1" applyBorder="1" applyAlignment="1">
      <alignment horizontal="center" vertical="top" wrapText="1"/>
    </xf>
    <xf numFmtId="0" fontId="3" fillId="0" borderId="14" xfId="0" applyFont="1" applyBorder="1" applyAlignment="1">
      <alignment horizontal="center"/>
    </xf>
    <xf numFmtId="0" fontId="13" fillId="0" borderId="0" xfId="0" applyFont="1" applyAlignment="1">
      <alignment horizontal="center" vertical="center"/>
    </xf>
    <xf numFmtId="4" fontId="3" fillId="0" borderId="25" xfId="0" applyNumberFormat="1" applyFont="1" applyBorder="1" applyAlignment="1">
      <alignment horizontal="center" vertical="center"/>
    </xf>
    <xf numFmtId="0" fontId="3" fillId="0" borderId="25" xfId="0" applyFont="1" applyBorder="1" applyAlignment="1">
      <alignment horizontal="center" vertical="center"/>
    </xf>
    <xf numFmtId="0" fontId="3" fillId="0" borderId="14" xfId="0" applyFont="1" applyBorder="1" applyAlignment="1">
      <alignment horizontal="center" vertical="center"/>
    </xf>
    <xf numFmtId="0" fontId="7" fillId="0" borderId="21" xfId="0" applyFont="1" applyBorder="1" applyAlignment="1">
      <alignment vertical="top" wrapText="1"/>
    </xf>
    <xf numFmtId="0" fontId="6" fillId="0" borderId="23" xfId="0" applyFont="1" applyBorder="1" applyAlignment="1">
      <alignment horizontal="center" vertical="center" wrapText="1"/>
    </xf>
    <xf numFmtId="0" fontId="6" fillId="5" borderId="20" xfId="0" applyFont="1" applyFill="1" applyBorder="1" applyAlignment="1">
      <alignment horizontal="center" vertical="top" wrapText="1"/>
    </xf>
    <xf numFmtId="0" fontId="6" fillId="5" borderId="15" xfId="0" applyFont="1" applyFill="1" applyBorder="1" applyAlignment="1">
      <alignment vertical="top" wrapText="1"/>
    </xf>
    <xf numFmtId="0" fontId="4" fillId="5" borderId="19" xfId="0" applyFont="1" applyFill="1" applyBorder="1" applyAlignment="1">
      <alignment horizontal="center"/>
    </xf>
    <xf numFmtId="8" fontId="6" fillId="5" borderId="15" xfId="0" applyNumberFormat="1" applyFont="1" applyFill="1" applyBorder="1" applyAlignment="1">
      <alignment horizontal="center"/>
    </xf>
    <xf numFmtId="0" fontId="3" fillId="0" borderId="19" xfId="0" applyFont="1" applyBorder="1" applyAlignment="1">
      <alignment horizontal="center"/>
    </xf>
    <xf numFmtId="8" fontId="3" fillId="0" borderId="15" xfId="0" applyNumberFormat="1" applyFont="1" applyBorder="1" applyAlignment="1">
      <alignment vertical="center"/>
    </xf>
    <xf numFmtId="0" fontId="3" fillId="0" borderId="20" xfId="0" applyFont="1" applyBorder="1" applyAlignment="1">
      <alignment horizontal="center"/>
    </xf>
    <xf numFmtId="8" fontId="6" fillId="5" borderId="15" xfId="0" applyNumberFormat="1" applyFont="1" applyFill="1" applyBorder="1"/>
    <xf numFmtId="8" fontId="3" fillId="0" borderId="15" xfId="0" applyNumberFormat="1" applyFont="1" applyBorder="1"/>
    <xf numFmtId="0" fontId="3" fillId="0" borderId="19" xfId="0" applyFont="1" applyBorder="1" applyAlignment="1">
      <alignment horizontal="center" vertical="center"/>
    </xf>
    <xf numFmtId="8" fontId="3" fillId="0" borderId="30" xfId="0" applyNumberFormat="1" applyFont="1" applyFill="1" applyBorder="1" applyAlignment="1">
      <alignment horizontal="center" vertical="center"/>
    </xf>
    <xf numFmtId="0" fontId="7" fillId="0" borderId="20" xfId="0" applyFont="1" applyBorder="1" applyAlignment="1">
      <alignment horizontal="center" vertical="top" wrapText="1"/>
    </xf>
    <xf numFmtId="0" fontId="7" fillId="0" borderId="21" xfId="0" applyFont="1" applyBorder="1"/>
    <xf numFmtId="8" fontId="3" fillId="0" borderId="15" xfId="0" applyNumberFormat="1" applyFont="1" applyFill="1" applyBorder="1" applyAlignment="1">
      <alignment horizontal="right" vertical="center"/>
    </xf>
    <xf numFmtId="0" fontId="7" fillId="0" borderId="8" xfId="0" applyFont="1" applyBorder="1" applyAlignment="1">
      <alignment horizontal="center" vertical="top"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3" fillId="0" borderId="7" xfId="0" applyFont="1" applyBorder="1" applyAlignment="1">
      <alignment horizontal="center" vertical="top" wrapText="1"/>
    </xf>
    <xf numFmtId="8" fontId="3" fillId="0" borderId="15" xfId="0" applyNumberFormat="1" applyFont="1" applyBorder="1" applyAlignment="1">
      <alignment horizontal="right" vertical="center"/>
    </xf>
    <xf numFmtId="0" fontId="7" fillId="0" borderId="15" xfId="0" applyFont="1" applyBorder="1"/>
    <xf numFmtId="0" fontId="7" fillId="5" borderId="17" xfId="0" applyFont="1" applyFill="1" applyBorder="1" applyAlignment="1">
      <alignment horizontal="center" vertical="top" wrapText="1"/>
    </xf>
    <xf numFmtId="164" fontId="6" fillId="5" borderId="18" xfId="0" applyNumberFormat="1" applyFont="1" applyFill="1" applyBorder="1"/>
    <xf numFmtId="164" fontId="6" fillId="0" borderId="18" xfId="0" applyNumberFormat="1" applyFont="1" applyBorder="1"/>
    <xf numFmtId="0" fontId="7" fillId="0" borderId="29" xfId="0" applyFont="1" applyBorder="1" applyAlignment="1">
      <alignment horizontal="center" vertical="top" wrapText="1"/>
    </xf>
    <xf numFmtId="0" fontId="7" fillId="5" borderId="20" xfId="0" applyFont="1" applyFill="1" applyBorder="1" applyAlignment="1">
      <alignment horizontal="center" vertical="top" wrapText="1"/>
    </xf>
    <xf numFmtId="0" fontId="7" fillId="5" borderId="15" xfId="0" applyFont="1" applyFill="1" applyBorder="1"/>
    <xf numFmtId="0" fontId="4" fillId="5" borderId="19" xfId="0" applyFont="1" applyFill="1" applyBorder="1" applyAlignment="1">
      <alignment horizontal="center" vertical="center"/>
    </xf>
    <xf numFmtId="8" fontId="4" fillId="5" borderId="15" xfId="0" applyNumberFormat="1" applyFont="1" applyFill="1" applyBorder="1" applyAlignment="1">
      <alignment horizontal="right" vertical="center"/>
    </xf>
    <xf numFmtId="167" fontId="3" fillId="0" borderId="15" xfId="0" applyNumberFormat="1" applyFont="1" applyBorder="1" applyAlignment="1">
      <alignment horizontal="right" vertical="center"/>
    </xf>
    <xf numFmtId="8" fontId="3" fillId="0" borderId="23" xfId="0" applyNumberFormat="1" applyFont="1" applyFill="1" applyBorder="1" applyAlignment="1">
      <alignment horizontal="right"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0" borderId="0" xfId="0" applyFont="1" applyBorder="1" applyAlignment="1">
      <alignment horizontal="left" vertical="center"/>
    </xf>
    <xf numFmtId="4" fontId="3" fillId="0" borderId="0" xfId="0" applyNumberFormat="1" applyFont="1" applyBorder="1" applyAlignment="1">
      <alignment horizontal="center" vertical="center"/>
    </xf>
    <xf numFmtId="8" fontId="3" fillId="0" borderId="0" xfId="0" applyNumberFormat="1" applyFont="1" applyBorder="1" applyAlignment="1">
      <alignment horizontal="right" vertical="center"/>
    </xf>
    <xf numFmtId="8" fontId="3" fillId="0" borderId="26" xfId="0" applyNumberFormat="1" applyFont="1" applyBorder="1" applyAlignment="1">
      <alignment horizontal="right" vertical="center"/>
    </xf>
    <xf numFmtId="0" fontId="7" fillId="0" borderId="23" xfId="0" applyFont="1" applyBorder="1"/>
    <xf numFmtId="0" fontId="7" fillId="0" borderId="22" xfId="0" applyFont="1" applyBorder="1" applyAlignment="1">
      <alignment horizontal="center" vertical="top" wrapText="1"/>
    </xf>
    <xf numFmtId="8" fontId="3" fillId="0" borderId="15" xfId="0" applyNumberFormat="1" applyFont="1" applyFill="1" applyBorder="1" applyAlignment="1">
      <alignment horizontal="center" vertical="center"/>
    </xf>
    <xf numFmtId="0" fontId="4" fillId="5" borderId="17" xfId="0" applyFont="1" applyFill="1" applyBorder="1" applyAlignment="1">
      <alignment horizontal="center" vertical="center"/>
    </xf>
    <xf numFmtId="0" fontId="3" fillId="0" borderId="14" xfId="0" applyFont="1" applyBorder="1" applyAlignment="1">
      <alignment horizontal="left" vertical="center"/>
    </xf>
    <xf numFmtId="4" fontId="3" fillId="0" borderId="14" xfId="0" applyNumberFormat="1" applyFont="1" applyBorder="1" applyAlignment="1">
      <alignment horizontal="center" vertical="center"/>
    </xf>
    <xf numFmtId="8" fontId="3" fillId="0" borderId="14" xfId="0" applyNumberFormat="1" applyFont="1" applyBorder="1" applyAlignment="1">
      <alignment horizontal="right" vertical="center"/>
    </xf>
    <xf numFmtId="8" fontId="3" fillId="0" borderId="23" xfId="0" applyNumberFormat="1" applyFont="1" applyBorder="1" applyAlignment="1">
      <alignment horizontal="right" vertical="center"/>
    </xf>
    <xf numFmtId="164" fontId="6" fillId="0" borderId="15" xfId="0" applyNumberFormat="1" applyFont="1" applyBorder="1"/>
    <xf numFmtId="0" fontId="9" fillId="0" borderId="0" xfId="0" applyFont="1"/>
    <xf numFmtId="4" fontId="10" fillId="0" borderId="0" xfId="0" applyNumberFormat="1" applyFont="1"/>
    <xf numFmtId="0" fontId="4" fillId="5" borderId="22" xfId="0" applyFont="1" applyFill="1" applyBorder="1" applyAlignment="1">
      <alignment horizontal="center" vertical="center"/>
    </xf>
    <xf numFmtId="164" fontId="6" fillId="4" borderId="18" xfId="0" applyNumberFormat="1" applyFont="1" applyFill="1" applyBorder="1" applyAlignment="1">
      <alignment vertical="top" wrapText="1"/>
    </xf>
    <xf numFmtId="0" fontId="7" fillId="4" borderId="2" xfId="0" applyFont="1" applyFill="1" applyBorder="1" applyAlignment="1">
      <alignment vertical="top" wrapText="1"/>
    </xf>
    <xf numFmtId="4" fontId="7" fillId="4" borderId="18" xfId="0" applyNumberFormat="1" applyFont="1" applyFill="1" applyBorder="1" applyAlignment="1">
      <alignment vertical="top" wrapText="1"/>
    </xf>
    <xf numFmtId="0" fontId="3" fillId="0" borderId="20" xfId="0" applyFont="1" applyBorder="1" applyAlignment="1">
      <alignment horizontal="center" vertical="center"/>
    </xf>
    <xf numFmtId="168" fontId="14" fillId="0" borderId="0" xfId="1" applyNumberFormat="1" applyFont="1" applyBorder="1" applyAlignment="1">
      <alignment horizontal="center" vertical="center"/>
    </xf>
    <xf numFmtId="169" fontId="3" fillId="0" borderId="9" xfId="0" applyNumberFormat="1" applyFont="1" applyBorder="1" applyAlignment="1">
      <alignment horizontal="right" vertical="center"/>
    </xf>
    <xf numFmtId="44" fontId="3" fillId="3" borderId="1" xfId="0" applyNumberFormat="1" applyFont="1" applyFill="1" applyBorder="1" applyAlignment="1">
      <alignment horizontal="center" vertical="center"/>
    </xf>
    <xf numFmtId="44" fontId="3" fillId="3" borderId="2" xfId="0" applyNumberFormat="1" applyFont="1" applyFill="1" applyBorder="1" applyAlignment="1">
      <alignment horizontal="center" vertical="center"/>
    </xf>
    <xf numFmtId="169" fontId="3" fillId="0" borderId="1" xfId="1" applyNumberFormat="1" applyFont="1" applyBorder="1" applyAlignment="1">
      <alignment horizontal="center" vertical="center"/>
    </xf>
    <xf numFmtId="169" fontId="3" fillId="0" borderId="12" xfId="1" applyNumberFormat="1" applyFont="1" applyBorder="1" applyAlignment="1">
      <alignment horizontal="center" vertical="center"/>
    </xf>
    <xf numFmtId="168" fontId="3" fillId="0" borderId="2" xfId="0" applyNumberFormat="1" applyFont="1" applyBorder="1" applyAlignment="1">
      <alignment horizontal="right" vertical="center"/>
    </xf>
    <xf numFmtId="168" fontId="3" fillId="0" borderId="1" xfId="1" applyNumberFormat="1" applyFont="1" applyBorder="1" applyAlignment="1">
      <alignment horizontal="center" vertical="center"/>
    </xf>
    <xf numFmtId="168" fontId="3" fillId="0" borderId="8" xfId="1" applyNumberFormat="1" applyFont="1" applyBorder="1" applyAlignment="1">
      <alignment horizontal="center" vertical="center"/>
    </xf>
    <xf numFmtId="168" fontId="3" fillId="0" borderId="2" xfId="1" applyNumberFormat="1" applyFont="1" applyBorder="1" applyAlignment="1">
      <alignment horizontal="center" vertical="center"/>
    </xf>
    <xf numFmtId="168" fontId="3" fillId="0" borderId="2" xfId="1" applyNumberFormat="1" applyFont="1" applyBorder="1" applyAlignment="1">
      <alignment vertical="center"/>
    </xf>
    <xf numFmtId="168" fontId="15" fillId="0" borderId="32" xfId="0" applyNumberFormat="1" applyFont="1" applyBorder="1" applyAlignment="1">
      <alignment wrapText="1"/>
    </xf>
    <xf numFmtId="168" fontId="3" fillId="0" borderId="25" xfId="1" applyNumberFormat="1" applyFont="1" applyBorder="1" applyAlignment="1">
      <alignment vertical="center"/>
    </xf>
    <xf numFmtId="8" fontId="6" fillId="5" borderId="15" xfId="0" applyNumberFormat="1" applyFont="1" applyFill="1" applyBorder="1" applyAlignment="1">
      <alignment vertical="center"/>
    </xf>
    <xf numFmtId="4" fontId="10" fillId="0" borderId="0" xfId="0" applyNumberFormat="1" applyFont="1" applyAlignment="1">
      <alignment vertical="center"/>
    </xf>
    <xf numFmtId="168" fontId="3" fillId="0" borderId="8" xfId="1" applyNumberFormat="1" applyFont="1" applyBorder="1" applyAlignment="1">
      <alignment vertical="center"/>
    </xf>
    <xf numFmtId="168" fontId="3" fillId="0" borderId="14" xfId="1" applyNumberFormat="1" applyFont="1" applyBorder="1" applyAlignment="1">
      <alignment vertical="center"/>
    </xf>
    <xf numFmtId="0" fontId="4" fillId="5" borderId="7" xfId="0" applyFont="1" applyFill="1" applyBorder="1" applyAlignment="1">
      <alignment horizontal="center" vertical="top" wrapText="1"/>
    </xf>
    <xf numFmtId="0" fontId="4" fillId="5" borderId="7" xfId="0" applyFont="1" applyFill="1" applyBorder="1" applyAlignment="1">
      <alignment horizontal="center" vertical="center"/>
    </xf>
    <xf numFmtId="8" fontId="6" fillId="5" borderId="23" xfId="0" applyNumberFormat="1" applyFont="1" applyFill="1" applyBorder="1"/>
    <xf numFmtId="0" fontId="6" fillId="5" borderId="22" xfId="0" applyFont="1" applyFill="1" applyBorder="1" applyAlignment="1">
      <alignment horizontal="center" vertical="top" wrapText="1"/>
    </xf>
    <xf numFmtId="169" fontId="3" fillId="0" borderId="7" xfId="1" applyNumberFormat="1" applyFont="1" applyBorder="1" applyAlignment="1">
      <alignment horizontal="center" vertical="center"/>
    </xf>
    <xf numFmtId="169" fontId="3" fillId="0" borderId="0" xfId="1" applyNumberFormat="1" applyFont="1" applyBorder="1" applyAlignment="1">
      <alignment horizontal="center" vertical="center"/>
    </xf>
    <xf numFmtId="169" fontId="3" fillId="0" borderId="25" xfId="1" applyNumberFormat="1" applyFont="1" applyBorder="1" applyAlignment="1">
      <alignment horizontal="center" vertical="center"/>
    </xf>
    <xf numFmtId="169" fontId="3" fillId="0" borderId="14" xfId="1"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5" xfId="0" applyFont="1" applyBorder="1" applyAlignment="1">
      <alignment vertical="center"/>
    </xf>
    <xf numFmtId="0" fontId="7" fillId="5" borderId="19" xfId="0" applyFont="1" applyFill="1" applyBorder="1" applyAlignment="1">
      <alignment horizontal="center" vertical="center" wrapText="1"/>
    </xf>
    <xf numFmtId="8" fontId="3" fillId="0" borderId="7" xfId="1" applyNumberFormat="1" applyFont="1" applyBorder="1" applyAlignment="1">
      <alignment horizontal="center" vertical="center"/>
    </xf>
    <xf numFmtId="168" fontId="3" fillId="0" borderId="0" xfId="1" applyNumberFormat="1" applyFont="1" applyBorder="1" applyAlignment="1">
      <alignment horizontal="center" vertical="center"/>
    </xf>
    <xf numFmtId="168" fontId="3" fillId="0" borderId="27" xfId="1" applyNumberFormat="1" applyFont="1" applyBorder="1" applyAlignment="1">
      <alignment horizontal="center" vertical="center"/>
    </xf>
    <xf numFmtId="168" fontId="3" fillId="0" borderId="14" xfId="1" applyNumberFormat="1" applyFont="1" applyBorder="1" applyAlignment="1">
      <alignment horizontal="center" vertical="center"/>
    </xf>
    <xf numFmtId="168" fontId="3" fillId="0" borderId="0" xfId="1" applyNumberFormat="1" applyFont="1" applyBorder="1" applyAlignment="1">
      <alignment vertical="center"/>
    </xf>
    <xf numFmtId="0" fontId="3" fillId="6" borderId="19" xfId="0" applyFont="1" applyFill="1" applyBorder="1" applyAlignment="1">
      <alignment horizontal="center" vertical="center"/>
    </xf>
    <xf numFmtId="0" fontId="3" fillId="0" borderId="19" xfId="0" applyFont="1" applyFill="1" applyBorder="1" applyAlignment="1">
      <alignment horizontal="center" vertical="center"/>
    </xf>
    <xf numFmtId="4" fontId="3" fillId="0" borderId="7" xfId="0" applyNumberFormat="1" applyFont="1" applyFill="1" applyBorder="1" applyAlignment="1">
      <alignment horizontal="center" vertical="center"/>
    </xf>
    <xf numFmtId="0" fontId="3" fillId="0" borderId="1" xfId="0" applyFont="1" applyFill="1" applyBorder="1" applyAlignment="1">
      <alignment horizontal="center" vertical="center"/>
    </xf>
    <xf numFmtId="168" fontId="3" fillId="0" borderId="2" xfId="1" applyNumberFormat="1" applyFont="1" applyFill="1" applyBorder="1" applyAlignment="1">
      <alignment vertical="center"/>
    </xf>
    <xf numFmtId="0" fontId="10" fillId="0" borderId="0" xfId="0" applyFont="1" applyFill="1"/>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xf>
    <xf numFmtId="0" fontId="3" fillId="0" borderId="7" xfId="0" applyFont="1" applyBorder="1" applyAlignment="1">
      <alignment horizontal="left" vertical="center"/>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7" fillId="0" borderId="19" xfId="0" applyFont="1" applyBorder="1" applyAlignment="1">
      <alignment horizontal="center"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3" xfId="0" applyFont="1" applyBorder="1" applyAlignment="1">
      <alignment horizontal="center" vertical="center" wrapText="1"/>
    </xf>
    <xf numFmtId="0" fontId="3" fillId="0" borderId="1" xfId="0" applyFont="1" applyBorder="1" applyAlignment="1">
      <alignment horizontal="center" vertical="center" wrapText="1"/>
    </xf>
    <xf numFmtId="8" fontId="10" fillId="0" borderId="0" xfId="0" applyNumberFormat="1" applyFont="1"/>
    <xf numFmtId="0" fontId="16" fillId="0" borderId="0" xfId="0" applyFont="1"/>
    <xf numFmtId="164" fontId="10" fillId="0" borderId="0" xfId="0" applyNumberFormat="1" applyFont="1" applyAlignment="1">
      <alignment vertical="center"/>
    </xf>
    <xf numFmtId="165" fontId="0" fillId="0" borderId="0" xfId="1" applyFont="1"/>
    <xf numFmtId="0" fontId="16" fillId="0" borderId="0" xfId="0" applyFont="1" applyBorder="1" applyAlignment="1">
      <alignment horizontal="center" vertical="center"/>
    </xf>
    <xf numFmtId="0" fontId="10" fillId="0" borderId="3" xfId="0" applyFont="1" applyBorder="1" applyAlignment="1">
      <alignment horizontal="center" vertical="center"/>
    </xf>
    <xf numFmtId="0" fontId="10"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20" fillId="5"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8" fontId="20" fillId="5" borderId="1" xfId="0" applyNumberFormat="1" applyFont="1" applyFill="1" applyBorder="1" applyAlignment="1">
      <alignment horizontal="center" vertical="center"/>
    </xf>
    <xf numFmtId="0" fontId="16"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2" fontId="16" fillId="0" borderId="1" xfId="0" applyNumberFormat="1" applyFont="1" applyBorder="1" applyAlignment="1">
      <alignment horizontal="center" vertical="center"/>
    </xf>
    <xf numFmtId="2" fontId="16" fillId="7" borderId="1" xfId="0" applyNumberFormat="1" applyFont="1" applyFill="1" applyBorder="1" applyAlignment="1">
      <alignment horizontal="center" vertical="center"/>
    </xf>
    <xf numFmtId="0" fontId="16" fillId="7" borderId="1" xfId="0" applyFont="1" applyFill="1" applyBorder="1" applyAlignment="1">
      <alignment horizontal="center" vertical="center"/>
    </xf>
    <xf numFmtId="169" fontId="16" fillId="7" borderId="9" xfId="0" applyNumberFormat="1" applyFont="1" applyFill="1" applyBorder="1" applyAlignment="1">
      <alignment horizontal="right" vertical="center"/>
    </xf>
    <xf numFmtId="8" fontId="16" fillId="0" borderId="1" xfId="0" applyNumberFormat="1" applyFont="1" applyBorder="1" applyAlignment="1">
      <alignment horizontal="center" vertical="center"/>
    </xf>
    <xf numFmtId="0" fontId="16" fillId="5" borderId="1" xfId="0" applyFont="1" applyFill="1" applyBorder="1" applyAlignment="1">
      <alignment horizontal="center" vertical="center"/>
    </xf>
    <xf numFmtId="4" fontId="16" fillId="0" borderId="1" xfId="0" applyNumberFormat="1" applyFont="1" applyBorder="1" applyAlignment="1">
      <alignment horizontal="center" vertical="center"/>
    </xf>
    <xf numFmtId="44" fontId="16" fillId="3" borderId="1" xfId="0" applyNumberFormat="1" applyFont="1" applyFill="1" applyBorder="1" applyAlignment="1">
      <alignment horizontal="center" vertical="center"/>
    </xf>
    <xf numFmtId="8" fontId="16" fillId="3" borderId="1" xfId="0" applyNumberFormat="1" applyFont="1" applyFill="1" applyBorder="1" applyAlignment="1">
      <alignment horizontal="center" vertical="center"/>
    </xf>
    <xf numFmtId="2" fontId="16" fillId="0" borderId="7" xfId="0" applyNumberFormat="1" applyFont="1" applyBorder="1" applyAlignment="1">
      <alignment horizontal="center" vertical="center"/>
    </xf>
    <xf numFmtId="44" fontId="16" fillId="3" borderId="2" xfId="0" applyNumberFormat="1" applyFont="1" applyFill="1" applyBorder="1" applyAlignment="1">
      <alignment horizontal="center" vertical="center"/>
    </xf>
    <xf numFmtId="0" fontId="16" fillId="0" borderId="12" xfId="0" applyFont="1" applyBorder="1" applyAlignment="1">
      <alignment horizontal="center" vertical="center"/>
    </xf>
    <xf numFmtId="4" fontId="16" fillId="7" borderId="1" xfId="0" applyNumberFormat="1" applyFont="1" applyFill="1" applyBorder="1" applyAlignment="1">
      <alignment horizontal="center" vertical="center"/>
    </xf>
    <xf numFmtId="44" fontId="16" fillId="7" borderId="1" xfId="0" applyNumberFormat="1" applyFont="1" applyFill="1" applyBorder="1" applyAlignment="1">
      <alignment horizontal="center" vertical="center"/>
    </xf>
    <xf numFmtId="0" fontId="16" fillId="7" borderId="8" xfId="0" applyFont="1" applyFill="1" applyBorder="1" applyAlignment="1">
      <alignment horizontal="left" vertical="center" wrapText="1"/>
    </xf>
    <xf numFmtId="0" fontId="16" fillId="7" borderId="5" xfId="0" applyFont="1" applyFill="1" applyBorder="1" applyAlignment="1">
      <alignment horizontal="left" vertical="center" wrapText="1"/>
    </xf>
    <xf numFmtId="0" fontId="16" fillId="7" borderId="6" xfId="0" applyFont="1" applyFill="1" applyBorder="1" applyAlignment="1">
      <alignment horizontal="left" vertical="center" wrapText="1"/>
    </xf>
    <xf numFmtId="4" fontId="16" fillId="7" borderId="7" xfId="0" applyNumberFormat="1" applyFont="1" applyFill="1" applyBorder="1" applyAlignment="1">
      <alignment horizontal="center" vertical="center"/>
    </xf>
    <xf numFmtId="0" fontId="16" fillId="7" borderId="7" xfId="0" applyFont="1" applyFill="1" applyBorder="1" applyAlignment="1">
      <alignment horizontal="center" vertical="center"/>
    </xf>
    <xf numFmtId="44" fontId="16" fillId="7" borderId="7" xfId="0" applyNumberFormat="1" applyFont="1" applyFill="1" applyBorder="1" applyAlignment="1">
      <alignment horizontal="center" vertical="center"/>
    </xf>
    <xf numFmtId="0" fontId="20" fillId="5" borderId="7" xfId="0" applyFont="1" applyFill="1" applyBorder="1" applyAlignment="1">
      <alignment horizontal="center" vertical="center"/>
    </xf>
    <xf numFmtId="4" fontId="16" fillId="0" borderId="7" xfId="0" applyNumberFormat="1" applyFont="1" applyBorder="1" applyAlignment="1">
      <alignment horizontal="center" vertical="center"/>
    </xf>
    <xf numFmtId="169" fontId="16" fillId="0" borderId="1" xfId="1" applyNumberFormat="1" applyFont="1" applyBorder="1" applyAlignment="1">
      <alignment horizontal="center" vertical="center"/>
    </xf>
    <xf numFmtId="169" fontId="16" fillId="0" borderId="12" xfId="1" applyNumberFormat="1" applyFont="1" applyBorder="1" applyAlignment="1">
      <alignment horizontal="center" vertical="center"/>
    </xf>
    <xf numFmtId="4" fontId="16" fillId="0" borderId="13" xfId="0" applyNumberFormat="1" applyFont="1" applyBorder="1" applyAlignment="1">
      <alignment horizontal="center" vertical="center"/>
    </xf>
    <xf numFmtId="169" fontId="16" fillId="7" borderId="1" xfId="1" applyNumberFormat="1" applyFont="1" applyFill="1" applyBorder="1" applyAlignment="1">
      <alignment horizontal="center" vertical="center"/>
    </xf>
    <xf numFmtId="169" fontId="16" fillId="7" borderId="12" xfId="1" applyNumberFormat="1" applyFont="1" applyFill="1" applyBorder="1" applyAlignment="1">
      <alignment horizontal="center" vertical="center"/>
    </xf>
    <xf numFmtId="166" fontId="16" fillId="7" borderId="1" xfId="0" applyNumberFormat="1" applyFont="1" applyFill="1" applyBorder="1" applyAlignment="1">
      <alignment horizontal="center" vertical="center"/>
    </xf>
    <xf numFmtId="167" fontId="16" fillId="7" borderId="1" xfId="0" applyNumberFormat="1" applyFont="1" applyFill="1" applyBorder="1" applyAlignment="1">
      <alignment horizontal="center" vertical="center"/>
    </xf>
    <xf numFmtId="166" fontId="16" fillId="0" borderId="1" xfId="0" applyNumberFormat="1" applyFont="1" applyBorder="1" applyAlignment="1">
      <alignment horizontal="center" vertical="center"/>
    </xf>
    <xf numFmtId="167" fontId="16" fillId="0" borderId="1" xfId="0" applyNumberFormat="1" applyFont="1" applyBorder="1" applyAlignment="1">
      <alignment horizontal="center" vertical="center"/>
    </xf>
    <xf numFmtId="0" fontId="16" fillId="5" borderId="3" xfId="0" applyFont="1" applyFill="1" applyBorder="1" applyAlignment="1">
      <alignment horizontal="center" vertical="center"/>
    </xf>
    <xf numFmtId="0" fontId="10" fillId="5" borderId="3" xfId="0" applyFont="1" applyFill="1" applyBorder="1" applyAlignment="1">
      <alignment horizontal="center" vertical="center"/>
    </xf>
    <xf numFmtId="166" fontId="16" fillId="0" borderId="7" xfId="0" applyNumberFormat="1" applyFont="1" applyBorder="1" applyAlignment="1">
      <alignment horizontal="center" vertical="center"/>
    </xf>
    <xf numFmtId="0" fontId="16" fillId="0" borderId="7" xfId="0" applyFont="1" applyBorder="1" applyAlignment="1">
      <alignment horizontal="center" vertical="center"/>
    </xf>
    <xf numFmtId="168" fontId="16" fillId="0" borderId="2" xfId="0" applyNumberFormat="1" applyFont="1" applyBorder="1" applyAlignment="1">
      <alignment horizontal="right" vertical="center"/>
    </xf>
    <xf numFmtId="8" fontId="16" fillId="0" borderId="2" xfId="0" applyNumberFormat="1" applyFont="1" applyBorder="1" applyAlignment="1">
      <alignment horizontal="center" vertical="center"/>
    </xf>
    <xf numFmtId="166" fontId="16" fillId="5" borderId="7" xfId="0" applyNumberFormat="1" applyFont="1" applyFill="1" applyBorder="1" applyAlignment="1">
      <alignment horizontal="center" vertical="center"/>
    </xf>
    <xf numFmtId="0" fontId="16" fillId="5" borderId="7" xfId="0" applyFont="1" applyFill="1" applyBorder="1" applyAlignment="1">
      <alignment horizontal="center" vertical="center"/>
    </xf>
    <xf numFmtId="8" fontId="16" fillId="5" borderId="2" xfId="0" applyNumberFormat="1" applyFont="1" applyFill="1" applyBorder="1" applyAlignment="1">
      <alignment horizontal="center" vertical="center"/>
    </xf>
    <xf numFmtId="168" fontId="16" fillId="0" borderId="1" xfId="1" applyNumberFormat="1" applyFont="1" applyBorder="1" applyAlignment="1">
      <alignment horizontal="center" vertical="center"/>
    </xf>
    <xf numFmtId="4" fontId="16" fillId="0" borderId="8" xfId="0" applyNumberFormat="1" applyFont="1" applyBorder="1" applyAlignment="1">
      <alignment horizontal="center" vertical="center"/>
    </xf>
    <xf numFmtId="168" fontId="16" fillId="0" borderId="8" xfId="1" applyNumberFormat="1" applyFont="1" applyBorder="1" applyAlignment="1">
      <alignment horizontal="center" vertical="center"/>
    </xf>
    <xf numFmtId="168" fontId="16" fillId="0" borderId="2" xfId="1" applyNumberFormat="1" applyFont="1" applyBorder="1" applyAlignment="1">
      <alignment horizontal="center" vertical="center"/>
    </xf>
    <xf numFmtId="165" fontId="16" fillId="0" borderId="1" xfId="1" applyFont="1" applyBorder="1" applyAlignment="1">
      <alignment horizontal="center" vertical="center"/>
    </xf>
    <xf numFmtId="8" fontId="16" fillId="0" borderId="1" xfId="1" applyNumberFormat="1" applyFont="1" applyBorder="1" applyAlignment="1">
      <alignment horizontal="center" vertical="center"/>
    </xf>
    <xf numFmtId="8" fontId="16" fillId="0" borderId="7" xfId="1" applyNumberFormat="1" applyFont="1" applyBorder="1" applyAlignment="1">
      <alignment horizontal="center" vertical="center"/>
    </xf>
    <xf numFmtId="4" fontId="16" fillId="0" borderId="12" xfId="0" applyNumberFormat="1" applyFont="1" applyBorder="1" applyAlignment="1">
      <alignment horizontal="center" vertical="center"/>
    </xf>
    <xf numFmtId="168" fontId="16" fillId="0" borderId="9" xfId="1" applyNumberFormat="1" applyFont="1" applyBorder="1" applyAlignment="1">
      <alignment horizontal="center" vertical="center"/>
    </xf>
    <xf numFmtId="168" fontId="16" fillId="0" borderId="2" xfId="1" applyNumberFormat="1" applyFont="1" applyBorder="1" applyAlignment="1">
      <alignment vertical="center"/>
    </xf>
    <xf numFmtId="168" fontId="16" fillId="0" borderId="32" xfId="0" applyNumberFormat="1" applyFont="1" applyBorder="1" applyAlignment="1">
      <alignment vertical="center" wrapText="1"/>
    </xf>
    <xf numFmtId="168" fontId="16" fillId="7" borderId="2" xfId="1" applyNumberFormat="1" applyFont="1" applyFill="1" applyBorder="1" applyAlignment="1">
      <alignment vertical="center"/>
    </xf>
    <xf numFmtId="4" fontId="16" fillId="0" borderId="7" xfId="0" applyNumberFormat="1" applyFont="1" applyFill="1" applyBorder="1" applyAlignment="1">
      <alignment horizontal="center" vertical="center"/>
    </xf>
    <xf numFmtId="0" fontId="16" fillId="0" borderId="1" xfId="0" applyFont="1" applyFill="1" applyBorder="1" applyAlignment="1">
      <alignment horizontal="center" vertical="center"/>
    </xf>
    <xf numFmtId="168" fontId="16" fillId="0" borderId="2" xfId="1" applyNumberFormat="1" applyFont="1" applyFill="1" applyBorder="1" applyAlignment="1">
      <alignment vertical="center"/>
    </xf>
    <xf numFmtId="168" fontId="16" fillId="0" borderId="8" xfId="1" applyNumberFormat="1" applyFont="1" applyBorder="1" applyAlignment="1">
      <alignment vertical="center"/>
    </xf>
    <xf numFmtId="168" fontId="16" fillId="0" borderId="1" xfId="1" applyNumberFormat="1" applyFont="1" applyBorder="1" applyAlignment="1">
      <alignment vertical="center"/>
    </xf>
    <xf numFmtId="168" fontId="16" fillId="0" borderId="9" xfId="1" applyNumberFormat="1" applyFont="1" applyBorder="1" applyAlignment="1">
      <alignment vertical="center"/>
    </xf>
    <xf numFmtId="0" fontId="16" fillId="7" borderId="1" xfId="0" applyFont="1" applyFill="1" applyBorder="1" applyAlignment="1">
      <alignment horizontal="left" vertical="center"/>
    </xf>
    <xf numFmtId="0" fontId="16" fillId="7" borderId="7" xfId="0" applyFont="1" applyFill="1" applyBorder="1" applyAlignment="1">
      <alignment horizontal="left" vertical="center"/>
    </xf>
    <xf numFmtId="166" fontId="16" fillId="7" borderId="7" xfId="0" applyNumberFormat="1" applyFont="1" applyFill="1" applyBorder="1" applyAlignment="1">
      <alignment horizontal="center" vertical="center"/>
    </xf>
    <xf numFmtId="165" fontId="16" fillId="7" borderId="2" xfId="1" applyFont="1" applyFill="1" applyBorder="1" applyAlignment="1">
      <alignment horizontal="center" vertical="center"/>
    </xf>
    <xf numFmtId="0" fontId="10" fillId="4" borderId="2" xfId="0" applyFont="1" applyFill="1" applyBorder="1" applyAlignment="1">
      <alignment horizontal="left" vertical="center"/>
    </xf>
    <xf numFmtId="0" fontId="20" fillId="0" borderId="7" xfId="0" applyFont="1" applyBorder="1" applyAlignment="1">
      <alignment vertical="center" wrapText="1"/>
    </xf>
    <xf numFmtId="0" fontId="20" fillId="0" borderId="1" xfId="0" applyFont="1" applyBorder="1" applyAlignment="1">
      <alignment horizontal="center" vertical="center" wrapText="1"/>
    </xf>
    <xf numFmtId="4" fontId="20" fillId="4" borderId="1" xfId="0" applyNumberFormat="1" applyFont="1" applyFill="1" applyBorder="1" applyAlignment="1">
      <alignment horizontal="center" vertical="center"/>
    </xf>
    <xf numFmtId="10" fontId="20" fillId="4" borderId="1" xfId="0" applyNumberFormat="1" applyFont="1" applyFill="1" applyBorder="1" applyAlignment="1">
      <alignment horizontal="center" vertical="center"/>
    </xf>
    <xf numFmtId="0" fontId="23" fillId="0" borderId="0" xfId="0" applyFont="1" applyAlignment="1">
      <alignment horizontal="center" vertical="center"/>
    </xf>
    <xf numFmtId="0" fontId="22" fillId="0" borderId="0" xfId="0" applyFont="1" applyAlignment="1">
      <alignment horizontal="center" vertical="center"/>
    </xf>
    <xf numFmtId="0" fontId="10" fillId="0" borderId="9" xfId="0" applyFont="1" applyBorder="1" applyAlignment="1">
      <alignment horizontal="center" vertical="center" wrapText="1"/>
    </xf>
    <xf numFmtId="0" fontId="16" fillId="0" borderId="3" xfId="0" applyFont="1" applyFill="1" applyBorder="1" applyAlignment="1">
      <alignment horizontal="center" vertical="center"/>
    </xf>
    <xf numFmtId="0" fontId="10" fillId="0" borderId="3" xfId="0" applyFont="1" applyFill="1" applyBorder="1" applyAlignment="1">
      <alignment horizontal="center" vertical="center"/>
    </xf>
    <xf numFmtId="4" fontId="10" fillId="0" borderId="0" xfId="0" applyNumberFormat="1" applyFont="1" applyFill="1"/>
    <xf numFmtId="169" fontId="16" fillId="0" borderId="1" xfId="0" applyNumberFormat="1" applyFont="1" applyBorder="1" applyAlignment="1">
      <alignment horizontal="right" vertical="center"/>
    </xf>
    <xf numFmtId="169" fontId="16" fillId="7" borderId="1" xfId="0" applyNumberFormat="1" applyFont="1" applyFill="1" applyBorder="1" applyAlignment="1">
      <alignment horizontal="right" vertical="center"/>
    </xf>
    <xf numFmtId="2" fontId="16" fillId="5" borderId="1" xfId="0" applyNumberFormat="1" applyFont="1" applyFill="1" applyBorder="1" applyAlignment="1">
      <alignment horizontal="center" vertical="center"/>
    </xf>
    <xf numFmtId="169" fontId="16" fillId="5" borderId="1" xfId="0" applyNumberFormat="1" applyFont="1" applyFill="1" applyBorder="1" applyAlignment="1">
      <alignment horizontal="right" vertical="center"/>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168" fontId="16" fillId="7" borderId="1" xfId="1" applyNumberFormat="1" applyFont="1" applyFill="1" applyBorder="1" applyAlignment="1">
      <alignment vertical="center"/>
    </xf>
    <xf numFmtId="0" fontId="16" fillId="5" borderId="3" xfId="0" applyFont="1" applyFill="1" applyBorder="1" applyAlignment="1">
      <alignment horizontal="center" vertical="center" wrapText="1"/>
    </xf>
    <xf numFmtId="4" fontId="10" fillId="0" borderId="0" xfId="0" applyNumberFormat="1" applyFont="1" applyFill="1" applyAlignment="1">
      <alignment vertical="center"/>
    </xf>
    <xf numFmtId="0" fontId="10" fillId="0" borderId="0" xfId="0" applyFont="1" applyFill="1" applyAlignment="1">
      <alignment vertical="center"/>
    </xf>
    <xf numFmtId="8" fontId="6" fillId="5" borderId="15" xfId="0" applyNumberFormat="1" applyFont="1" applyFill="1" applyBorder="1" applyAlignment="1">
      <alignment horizontal="center" vertical="center"/>
    </xf>
    <xf numFmtId="4" fontId="16" fillId="0" borderId="1" xfId="0" applyNumberFormat="1" applyFont="1" applyBorder="1" applyAlignment="1">
      <alignment vertical="center" wrapText="1"/>
    </xf>
    <xf numFmtId="4" fontId="16" fillId="0" borderId="4" xfId="0" applyNumberFormat="1" applyFont="1" applyBorder="1" applyAlignment="1">
      <alignment vertical="center" wrapText="1"/>
    </xf>
    <xf numFmtId="8" fontId="6" fillId="0" borderId="15" xfId="0" applyNumberFormat="1" applyFont="1" applyBorder="1" applyAlignment="1">
      <alignment vertical="center"/>
    </xf>
    <xf numFmtId="8" fontId="6" fillId="5" borderId="16" xfId="0" applyNumberFormat="1" applyFont="1" applyFill="1" applyBorder="1" applyAlignment="1">
      <alignment vertical="center"/>
    </xf>
    <xf numFmtId="2" fontId="10" fillId="0" borderId="0" xfId="0" applyNumberFormat="1" applyFont="1" applyAlignment="1">
      <alignment vertical="center"/>
    </xf>
    <xf numFmtId="4" fontId="16" fillId="0" borderId="3" xfId="0" applyNumberFormat="1" applyFont="1" applyBorder="1" applyAlignment="1">
      <alignment horizontal="center" vertical="center"/>
    </xf>
    <xf numFmtId="8" fontId="6" fillId="0" borderId="0" xfId="0" applyNumberFormat="1" applyFont="1" applyFill="1" applyBorder="1" applyAlignment="1">
      <alignment vertical="center"/>
    </xf>
    <xf numFmtId="8" fontId="10" fillId="0" borderId="0" xfId="0" applyNumberFormat="1" applyFont="1" applyAlignment="1">
      <alignment vertical="center"/>
    </xf>
    <xf numFmtId="4" fontId="20" fillId="5" borderId="1" xfId="0" applyNumberFormat="1" applyFont="1" applyFill="1" applyBorder="1" applyAlignment="1">
      <alignment horizontal="center" vertical="center"/>
    </xf>
    <xf numFmtId="4" fontId="20" fillId="5" borderId="15" xfId="0" applyNumberFormat="1" applyFont="1" applyFill="1" applyBorder="1" applyAlignment="1">
      <alignment horizontal="center" vertical="center"/>
    </xf>
    <xf numFmtId="10" fontId="20" fillId="5" borderId="1" xfId="0" applyNumberFormat="1" applyFont="1" applyFill="1" applyBorder="1" applyAlignment="1">
      <alignment horizontal="center" vertical="center"/>
    </xf>
    <xf numFmtId="10" fontId="17" fillId="5" borderId="15"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0" fontId="20" fillId="0" borderId="3" xfId="0" applyNumberFormat="1" applyFont="1" applyFill="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0" fillId="0" borderId="0" xfId="0" applyFont="1" applyBorder="1" applyAlignment="1">
      <alignment vertical="center"/>
    </xf>
    <xf numFmtId="0" fontId="10" fillId="0" borderId="4" xfId="0" applyFont="1" applyBorder="1" applyAlignment="1">
      <alignment vertical="center"/>
    </xf>
    <xf numFmtId="0" fontId="10" fillId="0" borderId="0" xfId="0" applyFont="1" applyBorder="1" applyAlignment="1">
      <alignment vertical="center" wrapText="1"/>
    </xf>
    <xf numFmtId="0" fontId="10" fillId="0" borderId="3" xfId="0" applyFont="1" applyBorder="1" applyAlignment="1">
      <alignment vertical="center"/>
    </xf>
    <xf numFmtId="0" fontId="16" fillId="0" borderId="0" xfId="0" applyFont="1" applyBorder="1" applyAlignment="1">
      <alignment horizontal="center" vertical="center" wrapText="1"/>
    </xf>
    <xf numFmtId="2" fontId="16" fillId="5" borderId="1" xfId="0" applyNumberFormat="1" applyFont="1" applyFill="1" applyBorder="1" applyAlignment="1">
      <alignment horizontal="center" vertical="center" wrapText="1"/>
    </xf>
    <xf numFmtId="0" fontId="20" fillId="5" borderId="7"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0" fillId="0" borderId="11" xfId="0" applyFont="1" applyBorder="1" applyAlignment="1">
      <alignment horizontal="center" vertical="center" wrapText="1"/>
    </xf>
    <xf numFmtId="4" fontId="16" fillId="0" borderId="1" xfId="0" applyNumberFormat="1" applyFont="1" applyBorder="1" applyAlignment="1">
      <alignment horizontal="center" vertical="center" wrapText="1"/>
    </xf>
    <xf numFmtId="0" fontId="10" fillId="4" borderId="2" xfId="0" applyFont="1" applyFill="1" applyBorder="1" applyAlignment="1">
      <alignment vertical="center" wrapText="1"/>
    </xf>
    <xf numFmtId="0" fontId="17" fillId="0" borderId="10"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0" fillId="0" borderId="9" xfId="0" applyFont="1" applyFill="1" applyBorder="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xf>
    <xf numFmtId="0" fontId="17" fillId="0" borderId="0" xfId="0" applyFont="1" applyBorder="1" applyAlignment="1">
      <alignment horizontal="center" vertical="center" wrapText="1"/>
    </xf>
    <xf numFmtId="0" fontId="22" fillId="0" borderId="0" xfId="0" applyFont="1" applyAlignment="1">
      <alignment vertical="center"/>
    </xf>
    <xf numFmtId="0" fontId="12" fillId="0" borderId="0" xfId="0" applyFont="1" applyAlignment="1">
      <alignmen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20" fillId="0" borderId="7"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 xfId="0" applyFont="1" applyBorder="1" applyAlignment="1">
      <alignment horizontal="center" vertical="center" wrapText="1"/>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7" fillId="5" borderId="3"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20" fillId="5" borderId="3" xfId="0" applyFont="1" applyFill="1" applyBorder="1" applyAlignment="1">
      <alignment horizontal="center" vertical="center"/>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6" fillId="0" borderId="5" xfId="0" applyFont="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7" borderId="2"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16" fillId="0" borderId="1" xfId="0" applyFont="1" applyBorder="1" applyAlignment="1">
      <alignment horizontal="left" vertical="center"/>
    </xf>
    <xf numFmtId="0" fontId="16" fillId="0" borderId="7" xfId="0" applyFont="1" applyBorder="1" applyAlignment="1">
      <alignment horizontal="left" vertical="center"/>
    </xf>
    <xf numFmtId="0" fontId="16" fillId="0" borderId="3" xfId="0" applyFont="1" applyBorder="1" applyAlignment="1">
      <alignment horizontal="center" vertical="center"/>
    </xf>
    <xf numFmtId="0" fontId="16" fillId="7" borderId="3" xfId="0" applyFont="1" applyFill="1" applyBorder="1" applyAlignment="1">
      <alignment horizontal="left" vertical="center"/>
    </xf>
    <xf numFmtId="0" fontId="10" fillId="0" borderId="12" xfId="0" applyFont="1" applyBorder="1" applyAlignment="1">
      <alignment horizontal="center" vertical="center" wrapText="1"/>
    </xf>
    <xf numFmtId="0" fontId="10" fillId="0" borderId="3" xfId="0" applyFont="1" applyFill="1" applyBorder="1" applyAlignment="1">
      <alignment horizontal="center" vertical="center" wrapText="1"/>
    </xf>
    <xf numFmtId="0" fontId="10" fillId="0" borderId="3" xfId="0" applyFont="1" applyBorder="1" applyAlignment="1">
      <alignment vertical="center" wrapText="1"/>
    </xf>
    <xf numFmtId="0" fontId="10" fillId="7" borderId="10" xfId="0" applyFont="1" applyFill="1" applyBorder="1" applyAlignment="1">
      <alignment horizontal="left"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10" fillId="0" borderId="0" xfId="0" applyFont="1" applyBorder="1" applyAlignment="1">
      <alignment horizontal="left" vertical="center" wrapText="1"/>
    </xf>
    <xf numFmtId="0" fontId="10" fillId="0" borderId="33" xfId="0" applyFont="1" applyBorder="1" applyAlignment="1">
      <alignment vertical="center"/>
    </xf>
    <xf numFmtId="0" fontId="10" fillId="0" borderId="34" xfId="0" applyFont="1" applyBorder="1" applyAlignment="1">
      <alignment vertical="center"/>
    </xf>
    <xf numFmtId="0" fontId="16" fillId="0" borderId="34"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vertical="center"/>
    </xf>
    <xf numFmtId="0" fontId="10" fillId="0" borderId="36" xfId="0" applyFont="1" applyBorder="1" applyAlignment="1">
      <alignment vertical="center"/>
    </xf>
    <xf numFmtId="0" fontId="10" fillId="0" borderId="37" xfId="0" applyFont="1" applyBorder="1" applyAlignment="1">
      <alignment vertical="center"/>
    </xf>
    <xf numFmtId="0" fontId="10" fillId="0" borderId="17" xfId="0" applyFont="1" applyBorder="1" applyAlignment="1">
      <alignment vertical="center"/>
    </xf>
    <xf numFmtId="0" fontId="10" fillId="0" borderId="36" xfId="0" applyFont="1" applyBorder="1" applyAlignment="1">
      <alignment vertical="center" wrapText="1"/>
    </xf>
    <xf numFmtId="0" fontId="10" fillId="0" borderId="18" xfId="0" applyFont="1" applyBorder="1" applyAlignment="1">
      <alignment vertical="center"/>
    </xf>
    <xf numFmtId="0" fontId="10" fillId="0" borderId="19"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20" xfId="0" applyFont="1" applyBorder="1" applyAlignment="1">
      <alignment horizontal="center" vertical="center" wrapText="1"/>
    </xf>
    <xf numFmtId="0" fontId="12" fillId="0" borderId="14" xfId="0" applyFont="1" applyBorder="1" applyAlignment="1">
      <alignment vertical="center"/>
    </xf>
    <xf numFmtId="0" fontId="13" fillId="0" borderId="14" xfId="0" applyFont="1" applyBorder="1" applyAlignment="1">
      <alignment horizontal="center" vertical="center"/>
    </xf>
    <xf numFmtId="0" fontId="12" fillId="0" borderId="14" xfId="0" applyFont="1" applyBorder="1" applyAlignment="1">
      <alignment horizontal="center" vertical="center"/>
    </xf>
    <xf numFmtId="0" fontId="10" fillId="7" borderId="0" xfId="0" applyFont="1" applyFill="1" applyBorder="1" applyAlignment="1">
      <alignment horizontal="left" vertical="center" wrapText="1"/>
    </xf>
    <xf numFmtId="0" fontId="10" fillId="0" borderId="22" xfId="0" applyFont="1" applyBorder="1" applyAlignment="1">
      <alignment horizontal="center" vertical="center" wrapText="1"/>
    </xf>
    <xf numFmtId="0" fontId="10" fillId="0" borderId="17" xfId="0" applyFont="1" applyFill="1" applyBorder="1" applyAlignment="1">
      <alignment horizontal="center" vertical="center" wrapText="1"/>
    </xf>
    <xf numFmtId="0" fontId="10" fillId="0" borderId="29" xfId="0" applyFont="1" applyBorder="1" applyAlignment="1">
      <alignment horizontal="center" vertical="center" wrapText="1"/>
    </xf>
    <xf numFmtId="0" fontId="10" fillId="7" borderId="46" xfId="0" applyFont="1" applyFill="1" applyBorder="1" applyAlignment="1">
      <alignment horizontal="left" vertical="center" wrapText="1"/>
    </xf>
    <xf numFmtId="0" fontId="10" fillId="0" borderId="14" xfId="0" applyFont="1" applyBorder="1" applyAlignment="1">
      <alignment horizontal="center" vertical="center" wrapText="1"/>
    </xf>
    <xf numFmtId="0" fontId="10" fillId="0" borderId="14" xfId="0" applyFont="1" applyBorder="1" applyAlignment="1">
      <alignment horizontal="left" vertical="center" wrapText="1"/>
    </xf>
    <xf numFmtId="0" fontId="10" fillId="0" borderId="17" xfId="0" applyFont="1" applyBorder="1" applyAlignment="1">
      <alignment horizontal="center" vertical="center" wrapText="1"/>
    </xf>
    <xf numFmtId="0" fontId="10" fillId="0" borderId="18" xfId="0" applyFont="1" applyBorder="1" applyAlignment="1">
      <alignment horizontal="left" vertical="center" wrapText="1"/>
    </xf>
    <xf numFmtId="0" fontId="10" fillId="7" borderId="14" xfId="0" applyFont="1" applyFill="1" applyBorder="1" applyAlignment="1">
      <alignment horizontal="left" vertical="center" wrapText="1"/>
    </xf>
    <xf numFmtId="0" fontId="16" fillId="5" borderId="7" xfId="0" applyFont="1" applyFill="1" applyBorder="1" applyAlignment="1">
      <alignment horizontal="center" vertical="center" wrapText="1"/>
    </xf>
    <xf numFmtId="0" fontId="10" fillId="5" borderId="7" xfId="0" applyFont="1" applyFill="1" applyBorder="1" applyAlignment="1">
      <alignment horizontal="center"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21" xfId="0" applyFont="1" applyBorder="1" applyAlignment="1">
      <alignment vertical="center" wrapText="1"/>
    </xf>
    <xf numFmtId="0" fontId="17" fillId="0" borderId="23" xfId="0" applyFont="1" applyBorder="1" applyAlignment="1">
      <alignment horizontal="center" vertical="center" wrapText="1"/>
    </xf>
    <xf numFmtId="0" fontId="17" fillId="5" borderId="20" xfId="0" applyFont="1" applyFill="1" applyBorder="1" applyAlignment="1">
      <alignment horizontal="center" vertical="center" wrapText="1"/>
    </xf>
    <xf numFmtId="0" fontId="17" fillId="5" borderId="15" xfId="0" applyFont="1" applyFill="1" applyBorder="1" applyAlignment="1">
      <alignment vertical="center" wrapText="1"/>
    </xf>
    <xf numFmtId="0" fontId="20" fillId="5" borderId="19" xfId="0" applyFont="1" applyFill="1" applyBorder="1" applyAlignment="1">
      <alignment horizontal="center" vertical="center"/>
    </xf>
    <xf numFmtId="8" fontId="17" fillId="5" borderId="15" xfId="0" applyNumberFormat="1" applyFont="1" applyFill="1" applyBorder="1" applyAlignment="1">
      <alignment horizontal="right" vertical="center"/>
    </xf>
    <xf numFmtId="0" fontId="16" fillId="0" borderId="20" xfId="0" applyFont="1" applyBorder="1" applyAlignment="1">
      <alignment horizontal="center" vertical="center"/>
    </xf>
    <xf numFmtId="8" fontId="16" fillId="0" borderId="15" xfId="0" applyNumberFormat="1" applyFont="1" applyBorder="1" applyAlignment="1">
      <alignment vertical="center"/>
    </xf>
    <xf numFmtId="8" fontId="17" fillId="5" borderId="15" xfId="0" applyNumberFormat="1" applyFont="1" applyFill="1" applyBorder="1" applyAlignment="1">
      <alignment vertical="center"/>
    </xf>
    <xf numFmtId="0" fontId="16" fillId="0" borderId="19" xfId="0" applyFont="1" applyBorder="1" applyAlignment="1">
      <alignment horizontal="center" vertical="center"/>
    </xf>
    <xf numFmtId="8" fontId="16" fillId="0" borderId="30" xfId="0" applyNumberFormat="1" applyFont="1" applyFill="1" applyBorder="1" applyAlignment="1">
      <alignment horizontal="center" vertical="center"/>
    </xf>
    <xf numFmtId="0" fontId="10" fillId="0" borderId="21" xfId="0" applyFont="1" applyBorder="1" applyAlignment="1">
      <alignment vertical="center"/>
    </xf>
    <xf numFmtId="8" fontId="16" fillId="0" borderId="15" xfId="0" applyNumberFormat="1" applyFont="1" applyFill="1" applyBorder="1" applyAlignment="1">
      <alignment horizontal="right" vertical="center"/>
    </xf>
    <xf numFmtId="0" fontId="10" fillId="7" borderId="19" xfId="0" applyFont="1" applyFill="1" applyBorder="1" applyAlignment="1">
      <alignment horizontal="center" vertical="center" wrapText="1"/>
    </xf>
    <xf numFmtId="8" fontId="16" fillId="7" borderId="15" xfId="0" applyNumberFormat="1" applyFont="1" applyFill="1" applyBorder="1" applyAlignment="1">
      <alignment horizontal="right" vertical="center"/>
    </xf>
    <xf numFmtId="0" fontId="10" fillId="7" borderId="22" xfId="0" applyFont="1" applyFill="1" applyBorder="1" applyAlignment="1">
      <alignment horizontal="center" vertical="center" wrapText="1"/>
    </xf>
    <xf numFmtId="8" fontId="16" fillId="7" borderId="23" xfId="0" applyNumberFormat="1" applyFont="1" applyFill="1" applyBorder="1" applyAlignment="1">
      <alignment horizontal="right" vertical="center"/>
    </xf>
    <xf numFmtId="0" fontId="17" fillId="5" borderId="22" xfId="0" applyFont="1" applyFill="1" applyBorder="1" applyAlignment="1">
      <alignment horizontal="center" vertical="center" wrapText="1"/>
    </xf>
    <xf numFmtId="8" fontId="17" fillId="5" borderId="23" xfId="0" applyNumberFormat="1" applyFont="1" applyFill="1" applyBorder="1" applyAlignment="1">
      <alignment vertical="center"/>
    </xf>
    <xf numFmtId="8" fontId="16" fillId="0" borderId="15" xfId="0" applyNumberFormat="1" applyFont="1" applyBorder="1" applyAlignment="1">
      <alignment horizontal="right" vertical="center"/>
    </xf>
    <xf numFmtId="8" fontId="16" fillId="0" borderId="21" xfId="0" applyNumberFormat="1" applyFont="1" applyBorder="1" applyAlignment="1">
      <alignment horizontal="right" vertical="center"/>
    </xf>
    <xf numFmtId="0" fontId="16" fillId="7" borderId="19" xfId="0" applyFont="1" applyFill="1" applyBorder="1" applyAlignment="1">
      <alignment horizontal="center" vertical="center"/>
    </xf>
    <xf numFmtId="0" fontId="16" fillId="0" borderId="14" xfId="0" applyFont="1" applyBorder="1" applyAlignment="1">
      <alignment horizontal="center" vertical="center" wrapText="1"/>
    </xf>
    <xf numFmtId="0" fontId="16" fillId="0" borderId="14" xfId="0" applyFont="1" applyBorder="1" applyAlignment="1">
      <alignment horizontal="center" vertical="center"/>
    </xf>
    <xf numFmtId="0" fontId="10" fillId="0" borderId="14" xfId="0" applyFont="1" applyBorder="1" applyAlignment="1">
      <alignment horizontal="center" vertical="center"/>
    </xf>
    <xf numFmtId="0" fontId="10" fillId="0" borderId="14" xfId="0" applyFont="1" applyBorder="1" applyAlignment="1">
      <alignment vertical="center"/>
    </xf>
    <xf numFmtId="0" fontId="10" fillId="5" borderId="28"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20" fillId="5" borderId="28" xfId="0" applyFont="1" applyFill="1" applyBorder="1" applyAlignment="1">
      <alignment horizontal="center" vertical="center"/>
    </xf>
    <xf numFmtId="0" fontId="10" fillId="5" borderId="28" xfId="0" applyFont="1" applyFill="1" applyBorder="1" applyAlignment="1">
      <alignment horizontal="center" vertical="center"/>
    </xf>
    <xf numFmtId="164" fontId="17" fillId="5" borderId="40" xfId="0" applyNumberFormat="1" applyFont="1" applyFill="1" applyBorder="1" applyAlignment="1">
      <alignment vertical="center"/>
    </xf>
    <xf numFmtId="0" fontId="10" fillId="5" borderId="50"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16" fillId="0" borderId="0" xfId="0" applyFont="1" applyBorder="1" applyAlignment="1">
      <alignment horizontal="left" vertical="center" wrapText="1"/>
    </xf>
    <xf numFmtId="168" fontId="16" fillId="0" borderId="0" xfId="1" applyNumberFormat="1" applyFont="1" applyBorder="1" applyAlignment="1">
      <alignment horizontal="center" vertical="center"/>
    </xf>
    <xf numFmtId="164" fontId="17" fillId="5" borderId="18" xfId="0" applyNumberFormat="1" applyFont="1" applyFill="1" applyBorder="1" applyAlignment="1">
      <alignment vertical="center"/>
    </xf>
    <xf numFmtId="0" fontId="16" fillId="7" borderId="20" xfId="0" applyFont="1" applyFill="1" applyBorder="1" applyAlignment="1">
      <alignment horizontal="center" vertical="center"/>
    </xf>
    <xf numFmtId="164" fontId="10" fillId="0" borderId="18" xfId="0" applyNumberFormat="1" applyFont="1" applyFill="1" applyBorder="1" applyAlignment="1">
      <alignment vertical="center"/>
    </xf>
    <xf numFmtId="0" fontId="17" fillId="5" borderId="19" xfId="0" applyFont="1" applyFill="1" applyBorder="1" applyAlignment="1">
      <alignment horizontal="center" vertical="center" wrapText="1"/>
    </xf>
    <xf numFmtId="164" fontId="17" fillId="0" borderId="18" xfId="0" applyNumberFormat="1" applyFont="1" applyBorder="1" applyAlignment="1">
      <alignment vertical="center"/>
    </xf>
    <xf numFmtId="0" fontId="10" fillId="5" borderId="17"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5" borderId="15" xfId="0" applyFont="1" applyFill="1" applyBorder="1" applyAlignment="1">
      <alignment vertical="center"/>
    </xf>
    <xf numFmtId="8" fontId="20" fillId="5" borderId="15" xfId="0" applyNumberFormat="1" applyFont="1" applyFill="1" applyBorder="1" applyAlignment="1">
      <alignment horizontal="right" vertical="center"/>
    </xf>
    <xf numFmtId="167" fontId="16" fillId="0" borderId="15" xfId="0" applyNumberFormat="1" applyFont="1" applyBorder="1" applyAlignment="1">
      <alignment horizontal="right" vertical="center"/>
    </xf>
    <xf numFmtId="8" fontId="16" fillId="0" borderId="23" xfId="0" applyNumberFormat="1" applyFont="1" applyFill="1" applyBorder="1" applyAlignment="1">
      <alignment horizontal="right" vertical="center"/>
    </xf>
    <xf numFmtId="0" fontId="10" fillId="0" borderId="15" xfId="0" applyFont="1" applyBorder="1" applyAlignment="1">
      <alignment vertical="center"/>
    </xf>
    <xf numFmtId="0" fontId="16" fillId="0" borderId="22" xfId="0" applyFont="1" applyBorder="1" applyAlignment="1">
      <alignment horizontal="center" vertical="center"/>
    </xf>
    <xf numFmtId="0" fontId="20" fillId="5" borderId="17" xfId="0" applyFont="1" applyFill="1" applyBorder="1" applyAlignment="1">
      <alignment horizontal="center" vertical="center"/>
    </xf>
    <xf numFmtId="8" fontId="16" fillId="0" borderId="15" xfId="0" applyNumberFormat="1" applyFont="1" applyFill="1" applyBorder="1" applyAlignment="1">
      <alignment horizontal="center" vertical="center"/>
    </xf>
    <xf numFmtId="0" fontId="10" fillId="0" borderId="23" xfId="0" applyFont="1" applyBorder="1" applyAlignment="1">
      <alignment vertical="center"/>
    </xf>
    <xf numFmtId="0" fontId="16" fillId="0" borderId="24" xfId="0" applyFont="1" applyBorder="1" applyAlignment="1">
      <alignment horizontal="center" vertical="center"/>
    </xf>
    <xf numFmtId="4" fontId="16" fillId="0" borderId="25" xfId="0" applyNumberFormat="1" applyFont="1" applyBorder="1" applyAlignment="1">
      <alignment horizontal="center" vertical="center"/>
    </xf>
    <xf numFmtId="0" fontId="16" fillId="0" borderId="25" xfId="0" applyFont="1" applyBorder="1" applyAlignment="1">
      <alignment horizontal="center" vertical="center"/>
    </xf>
    <xf numFmtId="168" fontId="16" fillId="0" borderId="27" xfId="1" applyNumberFormat="1" applyFont="1" applyBorder="1" applyAlignment="1">
      <alignment horizontal="center" vertical="center"/>
    </xf>
    <xf numFmtId="8" fontId="16" fillId="0" borderId="26" xfId="0" applyNumberFormat="1" applyFont="1" applyBorder="1" applyAlignment="1">
      <alignment horizontal="right" vertical="center"/>
    </xf>
    <xf numFmtId="4" fontId="16" fillId="0" borderId="14" xfId="0" applyNumberFormat="1" applyFont="1" applyBorder="1" applyAlignment="1">
      <alignment horizontal="center" vertical="center"/>
    </xf>
    <xf numFmtId="168" fontId="16" fillId="0" borderId="42" xfId="1" applyNumberFormat="1" applyFont="1" applyBorder="1" applyAlignment="1">
      <alignment horizontal="center" vertical="center"/>
    </xf>
    <xf numFmtId="0" fontId="16" fillId="0" borderId="0" xfId="0" applyFont="1" applyFill="1" applyBorder="1" applyAlignment="1">
      <alignment horizontal="center" vertical="center"/>
    </xf>
    <xf numFmtId="0" fontId="16" fillId="0" borderId="41" xfId="0" applyFont="1" applyBorder="1" applyAlignment="1">
      <alignment horizontal="center" vertical="center"/>
    </xf>
    <xf numFmtId="4" fontId="16" fillId="0" borderId="42" xfId="0" applyNumberFormat="1" applyFont="1" applyBorder="1" applyAlignment="1">
      <alignment horizontal="center" vertical="center"/>
    </xf>
    <xf numFmtId="0" fontId="16" fillId="0" borderId="42" xfId="0" applyFont="1" applyBorder="1" applyAlignment="1">
      <alignment horizontal="center" vertical="center"/>
    </xf>
    <xf numFmtId="8" fontId="16" fillId="0" borderId="16" xfId="0" applyNumberFormat="1" applyFont="1" applyBorder="1" applyAlignment="1">
      <alignment horizontal="right" vertical="center"/>
    </xf>
    <xf numFmtId="0" fontId="20" fillId="5" borderId="22" xfId="0" applyFont="1" applyFill="1" applyBorder="1" applyAlignment="1">
      <alignment horizontal="center" vertical="center"/>
    </xf>
    <xf numFmtId="0" fontId="16" fillId="0" borderId="51" xfId="0" applyFont="1" applyBorder="1" applyAlignment="1">
      <alignment horizontal="center" vertical="center"/>
    </xf>
    <xf numFmtId="4" fontId="16" fillId="0" borderId="49" xfId="0" applyNumberFormat="1" applyFont="1" applyFill="1" applyBorder="1" applyAlignment="1">
      <alignment horizontal="center" vertical="center"/>
    </xf>
    <xf numFmtId="0" fontId="16" fillId="0" borderId="25" xfId="0" applyFont="1" applyFill="1" applyBorder="1" applyAlignment="1">
      <alignment horizontal="center" vertical="center"/>
    </xf>
    <xf numFmtId="168" fontId="16" fillId="0" borderId="27" xfId="1" applyNumberFormat="1" applyFont="1" applyFill="1" applyBorder="1" applyAlignment="1">
      <alignment vertical="center"/>
    </xf>
    <xf numFmtId="0" fontId="16" fillId="0" borderId="14" xfId="0" applyFont="1" applyFill="1" applyBorder="1" applyAlignment="1">
      <alignment horizontal="left" vertical="center" wrapText="1"/>
    </xf>
    <xf numFmtId="4" fontId="16" fillId="0" borderId="14" xfId="0" applyNumberFormat="1" applyFont="1" applyFill="1" applyBorder="1" applyAlignment="1">
      <alignment horizontal="center" vertical="center"/>
    </xf>
    <xf numFmtId="0" fontId="16" fillId="0" borderId="14" xfId="0" applyFont="1" applyFill="1" applyBorder="1" applyAlignment="1">
      <alignment horizontal="center" vertical="center"/>
    </xf>
    <xf numFmtId="168" fontId="16" fillId="0" borderId="14" xfId="1" applyNumberFormat="1" applyFont="1" applyFill="1" applyBorder="1" applyAlignment="1">
      <alignment vertical="center"/>
    </xf>
    <xf numFmtId="8" fontId="16" fillId="0" borderId="14" xfId="0" applyNumberFormat="1" applyFont="1" applyBorder="1" applyAlignment="1">
      <alignment horizontal="right" vertical="center"/>
    </xf>
    <xf numFmtId="4" fontId="16" fillId="0" borderId="42" xfId="0" applyNumberFormat="1" applyFont="1" applyFill="1" applyBorder="1" applyAlignment="1">
      <alignment horizontal="center" vertical="center"/>
    </xf>
    <xf numFmtId="0" fontId="16" fillId="0" borderId="42" xfId="0" applyFont="1" applyFill="1" applyBorder="1" applyAlignment="1">
      <alignment horizontal="center" vertical="center"/>
    </xf>
    <xf numFmtId="168" fontId="16" fillId="0" borderId="43" xfId="1" applyNumberFormat="1" applyFont="1" applyFill="1" applyBorder="1" applyAlignment="1">
      <alignment vertical="center"/>
    </xf>
    <xf numFmtId="8" fontId="17" fillId="0" borderId="18" xfId="0" applyNumberFormat="1" applyFont="1" applyFill="1" applyBorder="1" applyAlignment="1">
      <alignment vertical="center"/>
    </xf>
    <xf numFmtId="44" fontId="17" fillId="5" borderId="18" xfId="0" applyNumberFormat="1" applyFont="1" applyFill="1" applyBorder="1" applyAlignment="1">
      <alignment horizontal="center" vertical="center" wrapText="1"/>
    </xf>
    <xf numFmtId="44" fontId="10" fillId="0" borderId="18" xfId="0" applyNumberFormat="1"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18" xfId="0" applyFont="1" applyFill="1" applyBorder="1" applyAlignment="1">
      <alignment horizontal="center" vertical="center" wrapText="1"/>
    </xf>
    <xf numFmtId="44" fontId="10" fillId="0" borderId="15" xfId="0" applyNumberFormat="1" applyFont="1" applyFill="1" applyBorder="1" applyAlignment="1">
      <alignment horizontal="center" vertical="center" wrapText="1"/>
    </xf>
    <xf numFmtId="0" fontId="16" fillId="0" borderId="48" xfId="0" applyFont="1" applyBorder="1" applyAlignment="1">
      <alignment horizontal="center" vertical="center"/>
    </xf>
    <xf numFmtId="44" fontId="17" fillId="5" borderId="15" xfId="0" applyNumberFormat="1" applyFont="1" applyFill="1" applyBorder="1" applyAlignment="1">
      <alignment vertical="center"/>
    </xf>
    <xf numFmtId="0" fontId="10" fillId="0" borderId="29" xfId="0" applyFont="1" applyFill="1" applyBorder="1" applyAlignment="1">
      <alignment horizontal="center" vertical="center" wrapText="1"/>
    </xf>
    <xf numFmtId="8" fontId="17" fillId="0" borderId="15" xfId="0" applyNumberFormat="1" applyFont="1" applyFill="1" applyBorder="1" applyAlignment="1">
      <alignment vertical="center"/>
    </xf>
    <xf numFmtId="164" fontId="17" fillId="4" borderId="18" xfId="0" applyNumberFormat="1" applyFont="1" applyFill="1" applyBorder="1" applyAlignment="1">
      <alignment vertical="center" wrapText="1"/>
    </xf>
    <xf numFmtId="165" fontId="10" fillId="4" borderId="18" xfId="1" applyFont="1" applyFill="1" applyBorder="1" applyAlignment="1">
      <alignment vertical="center" wrapText="1"/>
    </xf>
    <xf numFmtId="165" fontId="10" fillId="0" borderId="46" xfId="1" applyFont="1" applyFill="1" applyBorder="1" applyAlignment="1">
      <alignment vertical="center" wrapText="1"/>
    </xf>
    <xf numFmtId="7" fontId="10" fillId="4" borderId="18" xfId="1" applyNumberFormat="1" applyFont="1" applyFill="1" applyBorder="1" applyAlignment="1">
      <alignment vertical="center" wrapText="1"/>
    </xf>
    <xf numFmtId="0" fontId="10" fillId="0" borderId="14" xfId="0" applyFont="1" applyBorder="1" applyAlignment="1">
      <alignment vertical="center" wrapText="1"/>
    </xf>
    <xf numFmtId="171" fontId="20" fillId="5" borderId="1" xfId="0" applyNumberFormat="1" applyFont="1" applyFill="1" applyBorder="1" applyAlignment="1">
      <alignment horizontal="center" vertical="center"/>
    </xf>
    <xf numFmtId="0" fontId="20" fillId="0" borderId="38" xfId="0" applyFont="1" applyBorder="1" applyAlignment="1">
      <alignment horizontal="center" vertical="center"/>
    </xf>
    <xf numFmtId="4" fontId="16" fillId="0" borderId="23" xfId="0" applyNumberFormat="1" applyFont="1" applyBorder="1" applyAlignment="1">
      <alignment horizontal="center" vertical="center" wrapText="1"/>
    </xf>
    <xf numFmtId="0" fontId="16" fillId="0" borderId="17" xfId="0" applyFont="1" applyBorder="1" applyAlignment="1">
      <alignment vertical="center"/>
    </xf>
    <xf numFmtId="4" fontId="16" fillId="0" borderId="18" xfId="0" applyNumberFormat="1" applyFont="1" applyBorder="1" applyAlignment="1">
      <alignment horizontal="center" vertical="center" wrapText="1"/>
    </xf>
    <xf numFmtId="0" fontId="20" fillId="0" borderId="19" xfId="0" applyFont="1" applyBorder="1" applyAlignment="1">
      <alignment horizontal="center" vertical="center" wrapText="1"/>
    </xf>
    <xf numFmtId="4" fontId="16" fillId="0" borderId="15" xfId="0" applyNumberFormat="1" applyFont="1" applyFill="1" applyBorder="1" applyAlignment="1">
      <alignment horizontal="center" vertical="center" wrapText="1"/>
    </xf>
    <xf numFmtId="0" fontId="20" fillId="0" borderId="17" xfId="0" applyFont="1" applyBorder="1" applyAlignment="1">
      <alignment horizontal="center" vertical="center" wrapText="1"/>
    </xf>
    <xf numFmtId="4" fontId="16" fillId="0" borderId="18"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10" fontId="17" fillId="0" borderId="18" xfId="0" applyNumberFormat="1" applyFont="1" applyFill="1" applyBorder="1" applyAlignment="1">
      <alignment horizontal="center" vertical="center" wrapText="1"/>
    </xf>
    <xf numFmtId="4" fontId="20" fillId="4" borderId="15" xfId="0" applyNumberFormat="1" applyFont="1" applyFill="1" applyBorder="1" applyAlignment="1">
      <alignment horizontal="center" vertical="center"/>
    </xf>
    <xf numFmtId="10" fontId="17" fillId="4" borderId="15" xfId="0" applyNumberFormat="1" applyFont="1" applyFill="1" applyBorder="1" applyAlignment="1">
      <alignment horizontal="center" vertical="center" wrapText="1"/>
    </xf>
    <xf numFmtId="4" fontId="17" fillId="0" borderId="3" xfId="0" applyNumberFormat="1" applyFont="1" applyFill="1" applyBorder="1" applyAlignment="1">
      <alignment horizontal="center" vertical="center" wrapText="1"/>
    </xf>
    <xf numFmtId="0" fontId="17" fillId="0" borderId="17" xfId="0" applyFont="1" applyFill="1" applyBorder="1" applyAlignment="1">
      <alignment horizontal="center" vertical="center" wrapText="1"/>
    </xf>
    <xf numFmtId="0" fontId="6" fillId="0" borderId="36" xfId="0" applyFont="1" applyBorder="1" applyAlignment="1">
      <alignment horizontal="center" vertical="center" wrapText="1"/>
    </xf>
    <xf numFmtId="0" fontId="7" fillId="0" borderId="37" xfId="0" applyFont="1" applyBorder="1" applyAlignment="1">
      <alignment horizontal="center" vertical="center"/>
    </xf>
    <xf numFmtId="0" fontId="17" fillId="0" borderId="36" xfId="0" applyFont="1" applyBorder="1" applyAlignment="1">
      <alignment horizontal="center" vertical="center" wrapText="1"/>
    </xf>
    <xf numFmtId="0" fontId="10" fillId="0" borderId="37" xfId="0" applyFont="1" applyBorder="1" applyAlignment="1">
      <alignment horizontal="center" vertical="center"/>
    </xf>
    <xf numFmtId="0" fontId="17" fillId="0" borderId="55" xfId="0" applyFont="1" applyBorder="1" applyAlignment="1">
      <alignment horizontal="center" vertical="center" wrapText="1"/>
    </xf>
    <xf numFmtId="0" fontId="17" fillId="0" borderId="14" xfId="0" applyFont="1" applyBorder="1" applyAlignment="1">
      <alignment horizontal="center" vertical="center" wrapText="1"/>
    </xf>
    <xf numFmtId="0" fontId="10" fillId="0" borderId="54" xfId="0" applyFont="1" applyBorder="1" applyAlignment="1">
      <alignment horizontal="center" vertical="center"/>
    </xf>
    <xf numFmtId="0" fontId="10" fillId="0" borderId="34" xfId="0" applyFont="1" applyBorder="1" applyAlignment="1">
      <alignment vertical="center" wrapText="1"/>
    </xf>
    <xf numFmtId="0" fontId="16" fillId="0" borderId="34" xfId="0" applyFont="1" applyBorder="1" applyAlignment="1">
      <alignment horizontal="center" vertical="center" wrapText="1"/>
    </xf>
    <xf numFmtId="8" fontId="16" fillId="0" borderId="34" xfId="0" applyNumberFormat="1" applyFont="1" applyBorder="1" applyAlignment="1">
      <alignment horizontal="right" vertical="center"/>
    </xf>
    <xf numFmtId="0" fontId="16" fillId="0" borderId="34" xfId="0" applyFont="1" applyFill="1" applyBorder="1" applyAlignment="1">
      <alignment horizontal="left" vertical="center" wrapText="1"/>
    </xf>
    <xf numFmtId="4" fontId="16" fillId="0" borderId="34" xfId="0" applyNumberFormat="1" applyFont="1" applyFill="1" applyBorder="1" applyAlignment="1">
      <alignment horizontal="center" vertical="center"/>
    </xf>
    <xf numFmtId="0" fontId="16" fillId="0" borderId="34" xfId="0" applyFont="1" applyFill="1" applyBorder="1" applyAlignment="1">
      <alignment horizontal="center" vertical="center"/>
    </xf>
    <xf numFmtId="168" fontId="16" fillId="0" borderId="34" xfId="1" applyNumberFormat="1" applyFont="1" applyFill="1" applyBorder="1" applyAlignment="1">
      <alignment vertical="center"/>
    </xf>
    <xf numFmtId="0" fontId="16" fillId="0" borderId="34" xfId="0" applyFont="1" applyBorder="1" applyAlignment="1">
      <alignment horizontal="left" vertical="center" wrapText="1"/>
    </xf>
    <xf numFmtId="4" fontId="16" fillId="0" borderId="34" xfId="0" applyNumberFormat="1" applyFont="1" applyBorder="1" applyAlignment="1">
      <alignment horizontal="center" vertical="center"/>
    </xf>
    <xf numFmtId="168" fontId="16" fillId="0" borderId="34" xfId="1" applyNumberFormat="1" applyFont="1" applyBorder="1" applyAlignment="1">
      <alignment horizontal="center" vertical="center"/>
    </xf>
    <xf numFmtId="0" fontId="10" fillId="0" borderId="34"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16" fillId="0" borderId="34" xfId="0" applyFont="1" applyFill="1" applyBorder="1" applyAlignment="1">
      <alignment horizontal="center" vertical="center" wrapText="1"/>
    </xf>
    <xf numFmtId="0" fontId="20" fillId="0" borderId="34" xfId="0" applyFont="1" applyFill="1" applyBorder="1" applyAlignment="1">
      <alignment horizontal="center" vertical="center"/>
    </xf>
    <xf numFmtId="0" fontId="10" fillId="0" borderId="34" xfId="0" applyFont="1" applyFill="1" applyBorder="1" applyAlignment="1">
      <alignment horizontal="center" vertical="center"/>
    </xf>
    <xf numFmtId="164" fontId="17" fillId="0" borderId="34" xfId="0" applyNumberFormat="1" applyFont="1" applyFill="1" applyBorder="1" applyAlignment="1">
      <alignment vertical="center"/>
    </xf>
    <xf numFmtId="164" fontId="17" fillId="0" borderId="14" xfId="0" applyNumberFormat="1" applyFont="1" applyFill="1" applyBorder="1" applyAlignment="1">
      <alignment vertical="center"/>
    </xf>
    <xf numFmtId="0" fontId="10" fillId="0" borderId="34" xfId="0" applyFont="1" applyBorder="1" applyAlignment="1">
      <alignment horizontal="center" vertical="center" wrapText="1"/>
    </xf>
    <xf numFmtId="0" fontId="10" fillId="7" borderId="34" xfId="0" applyFont="1" applyFill="1" applyBorder="1" applyAlignment="1">
      <alignment horizontal="left" vertical="center" wrapText="1"/>
    </xf>
    <xf numFmtId="0" fontId="10" fillId="0" borderId="34" xfId="0" applyFont="1" applyBorder="1" applyAlignment="1">
      <alignment horizontal="left" vertical="center" wrapText="1"/>
    </xf>
    <xf numFmtId="0" fontId="17" fillId="0" borderId="19" xfId="0" applyFont="1" applyBorder="1" applyAlignment="1">
      <alignment horizontal="center" vertical="center" wrapText="1"/>
    </xf>
    <xf numFmtId="8" fontId="17" fillId="5" borderId="15" xfId="0" applyNumberFormat="1" applyFont="1" applyFill="1" applyBorder="1" applyAlignment="1">
      <alignment horizontal="center" vertical="center"/>
    </xf>
    <xf numFmtId="8" fontId="16" fillId="7" borderId="15" xfId="0" applyNumberFormat="1" applyFont="1" applyFill="1" applyBorder="1" applyAlignment="1">
      <alignment vertical="center"/>
    </xf>
    <xf numFmtId="170" fontId="10" fillId="0" borderId="15" xfId="1" applyNumberFormat="1" applyFont="1" applyBorder="1" applyAlignment="1">
      <alignment vertical="center"/>
    </xf>
    <xf numFmtId="2" fontId="17" fillId="5" borderId="1" xfId="0" applyNumberFormat="1" applyFont="1" applyFill="1" applyBorder="1" applyAlignment="1">
      <alignment horizontal="center" vertical="center" wrapText="1"/>
    </xf>
    <xf numFmtId="2" fontId="10" fillId="5" borderId="1" xfId="0" applyNumberFormat="1" applyFont="1" applyFill="1" applyBorder="1" applyAlignment="1">
      <alignment horizontal="center" vertical="center"/>
    </xf>
    <xf numFmtId="2" fontId="16" fillId="5" borderId="2" xfId="0" applyNumberFormat="1" applyFont="1" applyFill="1" applyBorder="1" applyAlignment="1">
      <alignment horizontal="center" vertical="center"/>
    </xf>
    <xf numFmtId="2" fontId="16" fillId="0" borderId="2" xfId="1" applyNumberFormat="1" applyFont="1" applyFill="1" applyBorder="1" applyAlignment="1">
      <alignment vertical="center"/>
    </xf>
    <xf numFmtId="2" fontId="16" fillId="7" borderId="2" xfId="1" applyNumberFormat="1" applyFont="1" applyFill="1" applyBorder="1" applyAlignment="1">
      <alignment vertical="center"/>
    </xf>
    <xf numFmtId="2" fontId="17" fillId="0" borderId="1" xfId="0" applyNumberFormat="1" applyFont="1" applyBorder="1" applyAlignment="1">
      <alignment horizontal="center" vertical="center" wrapText="1"/>
    </xf>
    <xf numFmtId="2" fontId="16" fillId="0" borderId="3" xfId="0" applyNumberFormat="1" applyFont="1" applyBorder="1" applyAlignment="1">
      <alignment horizontal="center" vertical="center"/>
    </xf>
    <xf numFmtId="0" fontId="16" fillId="7" borderId="2" xfId="0" applyFont="1" applyFill="1" applyBorder="1" applyAlignment="1">
      <alignment horizontal="center" vertical="center"/>
    </xf>
    <xf numFmtId="0" fontId="16" fillId="5" borderId="2" xfId="0" applyFont="1" applyFill="1" applyBorder="1" applyAlignment="1">
      <alignment horizontal="center" vertical="center"/>
    </xf>
    <xf numFmtId="0" fontId="16" fillId="0" borderId="8" xfId="0" applyFont="1" applyBorder="1" applyAlignment="1">
      <alignment horizontal="center" vertical="center"/>
    </xf>
    <xf numFmtId="0" fontId="16" fillId="5" borderId="8" xfId="0" applyFont="1" applyFill="1" applyBorder="1" applyAlignment="1">
      <alignment horizontal="center" vertical="center"/>
    </xf>
    <xf numFmtId="0" fontId="16" fillId="0" borderId="9" xfId="0" applyFont="1" applyBorder="1" applyAlignment="1">
      <alignment horizontal="center" vertical="center"/>
    </xf>
    <xf numFmtId="2" fontId="10" fillId="0" borderId="1" xfId="0" applyNumberFormat="1" applyFont="1" applyBorder="1" applyAlignment="1">
      <alignment horizontal="center" vertical="center"/>
    </xf>
    <xf numFmtId="4" fontId="10" fillId="0" borderId="1" xfId="0" applyNumberFormat="1" applyFont="1" applyBorder="1" applyAlignment="1">
      <alignment horizontal="center" vertical="center"/>
    </xf>
    <xf numFmtId="0" fontId="16" fillId="0" borderId="2" xfId="0" applyFont="1" applyFill="1" applyBorder="1" applyAlignment="1">
      <alignment horizontal="center" vertical="center"/>
    </xf>
    <xf numFmtId="8" fontId="16" fillId="7" borderId="18" xfId="0" applyNumberFormat="1" applyFont="1" applyFill="1" applyBorder="1" applyAlignment="1">
      <alignment horizontal="right" vertical="center"/>
    </xf>
    <xf numFmtId="8" fontId="17" fillId="5" borderId="1" xfId="0" applyNumberFormat="1" applyFont="1" applyFill="1" applyBorder="1" applyAlignment="1">
      <alignment vertical="center"/>
    </xf>
    <xf numFmtId="8" fontId="20" fillId="5" borderId="1" xfId="0" applyNumberFormat="1" applyFont="1" applyFill="1" applyBorder="1" applyAlignment="1">
      <alignment horizontal="right" vertical="center"/>
    </xf>
    <xf numFmtId="8" fontId="17" fillId="0" borderId="0" xfId="0" applyNumberFormat="1" applyFont="1" applyFill="1" applyBorder="1" applyAlignment="1">
      <alignment vertical="center"/>
    </xf>
    <xf numFmtId="2" fontId="16" fillId="7" borderId="1" xfId="0" applyNumberFormat="1" applyFont="1" applyFill="1" applyBorder="1" applyAlignment="1">
      <alignment horizontal="right" vertical="center"/>
    </xf>
    <xf numFmtId="2" fontId="10" fillId="5" borderId="1" xfId="0" applyNumberFormat="1" applyFont="1" applyFill="1" applyBorder="1" applyAlignment="1">
      <alignment horizontal="right" vertical="center"/>
    </xf>
    <xf numFmtId="2" fontId="16" fillId="5" borderId="1" xfId="0" applyNumberFormat="1" applyFont="1" applyFill="1" applyBorder="1" applyAlignment="1">
      <alignment horizontal="right" vertical="center"/>
    </xf>
    <xf numFmtId="4" fontId="16" fillId="7" borderId="2" xfId="1" applyNumberFormat="1" applyFont="1" applyFill="1" applyBorder="1" applyAlignment="1">
      <alignment horizontal="right" vertical="center"/>
    </xf>
    <xf numFmtId="2" fontId="10" fillId="0" borderId="1" xfId="0" applyNumberFormat="1" applyFont="1" applyBorder="1" applyAlignment="1">
      <alignment horizontal="right" vertical="center"/>
    </xf>
    <xf numFmtId="2" fontId="16" fillId="0" borderId="1" xfId="0" applyNumberFormat="1" applyFont="1" applyFill="1" applyBorder="1" applyAlignment="1">
      <alignment horizontal="right" vertical="center"/>
    </xf>
    <xf numFmtId="164" fontId="17" fillId="5" borderId="15" xfId="0" applyNumberFormat="1" applyFont="1" applyFill="1" applyBorder="1" applyAlignment="1">
      <alignment vertical="center" wrapText="1"/>
    </xf>
    <xf numFmtId="164" fontId="17" fillId="5" borderId="15" xfId="0" applyNumberFormat="1" applyFont="1" applyFill="1" applyBorder="1" applyAlignment="1">
      <alignment vertical="center"/>
    </xf>
    <xf numFmtId="0" fontId="16" fillId="7" borderId="5" xfId="0" applyFont="1" applyFill="1" applyBorder="1" applyAlignment="1">
      <alignment horizontal="left" vertical="center"/>
    </xf>
    <xf numFmtId="0" fontId="24" fillId="0" borderId="0" xfId="3" applyAlignment="1">
      <alignment horizontal="center" vertical="center"/>
    </xf>
    <xf numFmtId="0" fontId="24" fillId="0" borderId="0" xfId="3"/>
    <xf numFmtId="0" fontId="26" fillId="0" borderId="0" xfId="0" applyFont="1" applyAlignment="1">
      <alignment vertical="center"/>
    </xf>
    <xf numFmtId="0" fontId="27" fillId="0" borderId="0" xfId="0" applyFont="1" applyAlignment="1">
      <alignment horizontal="right" vertical="center"/>
    </xf>
    <xf numFmtId="0" fontId="25" fillId="0" borderId="0" xfId="0" applyFont="1" applyAlignment="1">
      <alignment horizontal="right" vertical="center"/>
    </xf>
    <xf numFmtId="2" fontId="16" fillId="5" borderId="7" xfId="0" applyNumberFormat="1" applyFont="1" applyFill="1" applyBorder="1" applyAlignment="1">
      <alignment horizontal="center" vertical="center" wrapText="1"/>
    </xf>
    <xf numFmtId="0" fontId="16" fillId="0" borderId="14" xfId="0" applyFont="1" applyBorder="1" applyAlignment="1">
      <alignment horizontal="left" vertical="center" wrapText="1"/>
    </xf>
    <xf numFmtId="0" fontId="16" fillId="7" borderId="22" xfId="0" applyFont="1" applyFill="1" applyBorder="1" applyAlignment="1">
      <alignment horizontal="center" vertical="center"/>
    </xf>
    <xf numFmtId="4" fontId="16" fillId="0" borderId="0" xfId="0" applyNumberFormat="1" applyFont="1" applyBorder="1" applyAlignment="1">
      <alignment horizontal="center" vertical="center"/>
    </xf>
    <xf numFmtId="8" fontId="16" fillId="0" borderId="0" xfId="0" applyNumberFormat="1" applyFont="1" applyBorder="1" applyAlignment="1">
      <alignment horizontal="right" vertical="center"/>
    </xf>
    <xf numFmtId="4" fontId="16" fillId="0" borderId="1" xfId="0" applyNumberFormat="1" applyFont="1" applyFill="1" applyBorder="1" applyAlignment="1">
      <alignment horizontal="center" vertical="center"/>
    </xf>
    <xf numFmtId="0" fontId="16" fillId="7" borderId="0" xfId="0" applyFont="1" applyFill="1" applyBorder="1" applyAlignment="1">
      <alignment horizontal="center" vertical="center"/>
    </xf>
    <xf numFmtId="0" fontId="16" fillId="7" borderId="0" xfId="0" applyFont="1" applyFill="1" applyBorder="1" applyAlignment="1">
      <alignment horizontal="left" vertical="center" wrapText="1"/>
    </xf>
    <xf numFmtId="4" fontId="16" fillId="7" borderId="0" xfId="0" applyNumberFormat="1" applyFont="1" applyFill="1" applyBorder="1" applyAlignment="1">
      <alignment horizontal="center" vertical="center"/>
    </xf>
    <xf numFmtId="8" fontId="16" fillId="7" borderId="0" xfId="0" applyNumberFormat="1" applyFont="1" applyFill="1" applyBorder="1" applyAlignment="1">
      <alignment horizontal="right" vertical="center"/>
    </xf>
    <xf numFmtId="0" fontId="16" fillId="7" borderId="14" xfId="0" applyFont="1" applyFill="1" applyBorder="1" applyAlignment="1">
      <alignment horizontal="center" vertical="center"/>
    </xf>
    <xf numFmtId="0" fontId="16" fillId="7" borderId="14" xfId="0" applyFont="1" applyFill="1" applyBorder="1" applyAlignment="1">
      <alignment horizontal="left" vertical="center" wrapText="1"/>
    </xf>
    <xf numFmtId="4" fontId="16" fillId="7" borderId="14" xfId="0" applyNumberFormat="1" applyFont="1" applyFill="1" applyBorder="1" applyAlignment="1">
      <alignment horizontal="center" vertical="center"/>
    </xf>
    <xf numFmtId="8" fontId="16" fillId="7" borderId="14" xfId="0" applyNumberFormat="1" applyFont="1" applyFill="1" applyBorder="1" applyAlignment="1">
      <alignment horizontal="right" vertical="center"/>
    </xf>
    <xf numFmtId="8" fontId="16" fillId="0" borderId="3" xfId="0" applyNumberFormat="1" applyFont="1" applyBorder="1" applyAlignment="1">
      <alignment vertical="center"/>
    </xf>
    <xf numFmtId="0" fontId="16" fillId="0" borderId="17" xfId="0" applyFont="1" applyBorder="1" applyAlignment="1">
      <alignment horizontal="center" vertical="center"/>
    </xf>
    <xf numFmtId="0" fontId="10" fillId="5" borderId="2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20" fillId="5" borderId="10" xfId="0" applyFont="1" applyFill="1" applyBorder="1" applyAlignment="1">
      <alignment horizontal="center" vertical="center"/>
    </xf>
    <xf numFmtId="0" fontId="20" fillId="0" borderId="22" xfId="0" applyFont="1" applyBorder="1" applyAlignment="1">
      <alignment horizontal="center" vertical="center" wrapText="1"/>
    </xf>
    <xf numFmtId="2" fontId="10" fillId="5" borderId="2" xfId="0" applyNumberFormat="1" applyFont="1" applyFill="1" applyBorder="1" applyAlignment="1">
      <alignment horizontal="left" vertical="center"/>
    </xf>
    <xf numFmtId="164" fontId="17" fillId="5" borderId="18" xfId="0" applyNumberFormat="1" applyFont="1" applyFill="1" applyBorder="1" applyAlignment="1">
      <alignment vertical="center" wrapText="1"/>
    </xf>
    <xf numFmtId="0" fontId="16" fillId="7" borderId="2"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16" fillId="7" borderId="3" xfId="0" applyFont="1" applyFill="1" applyBorder="1" applyAlignment="1">
      <alignment horizontal="left" vertical="center"/>
    </xf>
    <xf numFmtId="0" fontId="16" fillId="0" borderId="1" xfId="0" applyFont="1" applyBorder="1" applyAlignment="1">
      <alignment horizontal="center" vertical="center"/>
    </xf>
    <xf numFmtId="0" fontId="10" fillId="0" borderId="19" xfId="0" applyFont="1" applyBorder="1" applyAlignment="1">
      <alignment horizontal="center" vertical="center" wrapText="1"/>
    </xf>
    <xf numFmtId="0" fontId="20" fillId="5" borderId="1" xfId="0" applyFont="1" applyFill="1" applyBorder="1" applyAlignment="1">
      <alignment horizontal="center" vertical="center" wrapText="1"/>
    </xf>
    <xf numFmtId="4" fontId="10" fillId="0" borderId="1" xfId="0" applyNumberFormat="1" applyFont="1" applyBorder="1" applyAlignment="1">
      <alignment vertical="center"/>
    </xf>
    <xf numFmtId="0" fontId="16" fillId="0" borderId="1" xfId="0" applyFont="1" applyBorder="1" applyAlignment="1">
      <alignment vertical="center"/>
    </xf>
    <xf numFmtId="0" fontId="16" fillId="0" borderId="1" xfId="0" applyFont="1" applyBorder="1" applyAlignment="1">
      <alignment vertical="center" wrapText="1"/>
    </xf>
    <xf numFmtId="0" fontId="22" fillId="0" borderId="0" xfId="0" applyFont="1"/>
    <xf numFmtId="0" fontId="16" fillId="7" borderId="8" xfId="0" applyFont="1" applyFill="1" applyBorder="1" applyAlignment="1">
      <alignment horizontal="center" vertical="center"/>
    </xf>
    <xf numFmtId="8" fontId="16" fillId="0" borderId="0" xfId="0" applyNumberFormat="1" applyFont="1" applyFill="1" applyBorder="1" applyAlignment="1">
      <alignment horizontal="right" vertical="center"/>
    </xf>
    <xf numFmtId="0" fontId="17" fillId="0" borderId="0" xfId="0" applyFont="1" applyFill="1" applyBorder="1" applyAlignment="1">
      <alignment horizontal="center" vertical="center" wrapText="1"/>
    </xf>
    <xf numFmtId="0" fontId="20" fillId="5" borderId="17" xfId="0" applyFont="1" applyFill="1" applyBorder="1" applyAlignment="1">
      <alignment vertical="center"/>
    </xf>
    <xf numFmtId="0" fontId="20" fillId="5" borderId="3" xfId="0" applyFont="1" applyFill="1" applyBorder="1" applyAlignment="1">
      <alignment vertical="center"/>
    </xf>
    <xf numFmtId="0" fontId="10" fillId="0" borderId="48" xfId="0" applyFont="1" applyBorder="1" applyAlignment="1">
      <alignment horizontal="center" vertical="center" wrapText="1"/>
    </xf>
    <xf numFmtId="0" fontId="10" fillId="0" borderId="56" xfId="0" applyFont="1" applyBorder="1" applyAlignment="1">
      <alignment horizontal="left" vertical="center" wrapText="1"/>
    </xf>
    <xf numFmtId="0" fontId="10" fillId="0" borderId="37" xfId="0" applyFont="1" applyBorder="1" applyAlignment="1">
      <alignment horizontal="left" vertical="center" wrapText="1"/>
    </xf>
    <xf numFmtId="0" fontId="10" fillId="0" borderId="0" xfId="0" quotePrefix="1" applyFont="1"/>
    <xf numFmtId="0" fontId="10" fillId="0" borderId="0" xfId="0" applyFont="1" applyBorder="1" applyAlignment="1">
      <alignment horizontal="center" wrapText="1"/>
    </xf>
    <xf numFmtId="0" fontId="10" fillId="0" borderId="0" xfId="0" applyFont="1" applyBorder="1" applyAlignment="1">
      <alignment horizontal="left" wrapText="1"/>
    </xf>
    <xf numFmtId="0" fontId="10" fillId="0" borderId="0" xfId="0" applyFont="1" applyAlignment="1"/>
    <xf numFmtId="0" fontId="20" fillId="0" borderId="3" xfId="0" applyFont="1" applyFill="1" applyBorder="1" applyAlignment="1">
      <alignment horizontal="center" vertical="center"/>
    </xf>
    <xf numFmtId="0" fontId="16" fillId="7" borderId="0" xfId="0" applyFont="1" applyFill="1" applyBorder="1" applyAlignment="1">
      <alignment horizontal="left" vertical="center"/>
    </xf>
    <xf numFmtId="0" fontId="16" fillId="7" borderId="14" xfId="0" applyFont="1" applyFill="1" applyBorder="1" applyAlignment="1">
      <alignment horizontal="left" vertical="center"/>
    </xf>
    <xf numFmtId="0" fontId="17" fillId="0" borderId="34" xfId="0" applyFont="1" applyBorder="1" applyAlignment="1">
      <alignment horizontal="center" vertical="center" wrapText="1"/>
    </xf>
    <xf numFmtId="4" fontId="4" fillId="5" borderId="1" xfId="0" applyNumberFormat="1" applyFont="1" applyFill="1" applyBorder="1" applyAlignment="1">
      <alignment horizontal="center" vertical="center"/>
    </xf>
    <xf numFmtId="4" fontId="4" fillId="5" borderId="1" xfId="0" applyNumberFormat="1" applyFont="1" applyFill="1" applyBorder="1" applyAlignment="1">
      <alignment horizontal="center" vertical="center" wrapText="1"/>
    </xf>
    <xf numFmtId="10" fontId="6" fillId="5" borderId="1" xfId="0" applyNumberFormat="1" applyFont="1" applyFill="1" applyBorder="1" applyAlignment="1">
      <alignment horizontal="center" vertical="center" wrapText="1"/>
    </xf>
    <xf numFmtId="0" fontId="12" fillId="0" borderId="0" xfId="0" applyFont="1" applyFill="1" applyAlignment="1">
      <alignment vertical="center"/>
    </xf>
    <xf numFmtId="0" fontId="27" fillId="0" borderId="0" xfId="0" applyFont="1" applyFill="1" applyAlignment="1">
      <alignment horizontal="right" vertical="center"/>
    </xf>
    <xf numFmtId="0" fontId="25" fillId="0" borderId="0" xfId="0" applyFont="1" applyFill="1" applyAlignment="1">
      <alignment horizontal="right" vertical="center"/>
    </xf>
    <xf numFmtId="0" fontId="10" fillId="0" borderId="0" xfId="0" applyFont="1" applyFill="1" applyBorder="1" applyAlignment="1">
      <alignment vertical="center"/>
    </xf>
    <xf numFmtId="0" fontId="17" fillId="0" borderId="0" xfId="0" applyFont="1" applyFill="1" applyBorder="1" applyAlignment="1">
      <alignment horizontal="left"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left" vertical="center" wrapText="1"/>
    </xf>
    <xf numFmtId="0" fontId="17" fillId="0" borderId="0" xfId="0" applyFont="1" applyFill="1" applyBorder="1" applyAlignment="1">
      <alignment vertical="center" wrapText="1"/>
    </xf>
    <xf numFmtId="0" fontId="10" fillId="0" borderId="0" xfId="0" applyFont="1" applyFill="1" applyBorder="1" applyAlignment="1">
      <alignment vertical="center" wrapText="1"/>
    </xf>
    <xf numFmtId="0" fontId="16" fillId="0" borderId="0" xfId="0" applyFont="1" applyFill="1" applyBorder="1" applyAlignment="1">
      <alignment horizontal="left" vertical="center" wrapText="1"/>
    </xf>
    <xf numFmtId="0" fontId="10" fillId="0" borderId="0" xfId="0" applyFont="1" applyFill="1" applyBorder="1" applyAlignment="1">
      <alignment horizontal="left" wrapText="1"/>
    </xf>
    <xf numFmtId="8" fontId="16" fillId="0" borderId="0" xfId="0" applyNumberFormat="1" applyFont="1" applyFill="1" applyBorder="1" applyAlignment="1">
      <alignment vertical="center"/>
    </xf>
    <xf numFmtId="164" fontId="17" fillId="0" borderId="0" xfId="0" applyNumberFormat="1" applyFont="1" applyFill="1" applyBorder="1" applyAlignment="1">
      <alignment vertical="center"/>
    </xf>
    <xf numFmtId="8" fontId="20" fillId="0" borderId="0" xfId="0" applyNumberFormat="1" applyFont="1" applyFill="1" applyBorder="1" applyAlignment="1">
      <alignment horizontal="right" vertical="center"/>
    </xf>
    <xf numFmtId="164" fontId="17" fillId="0" borderId="0" xfId="0" applyNumberFormat="1" applyFont="1" applyFill="1" applyBorder="1" applyAlignment="1">
      <alignment vertical="center" wrapText="1"/>
    </xf>
    <xf numFmtId="0" fontId="9"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22" fillId="0" borderId="0" xfId="0" applyFont="1" applyFill="1" applyAlignment="1">
      <alignment vertical="center"/>
    </xf>
    <xf numFmtId="8" fontId="17" fillId="0" borderId="0" xfId="0" applyNumberFormat="1" applyFont="1" applyFill="1" applyBorder="1" applyAlignment="1">
      <alignment horizontal="center" vertical="center"/>
    </xf>
    <xf numFmtId="170" fontId="10" fillId="0" borderId="0" xfId="1" applyNumberFormat="1" applyFont="1" applyFill="1" applyBorder="1" applyAlignment="1">
      <alignment vertical="center"/>
    </xf>
    <xf numFmtId="4" fontId="16" fillId="5" borderId="1" xfId="0" applyNumberFormat="1" applyFont="1" applyFill="1" applyBorder="1" applyAlignment="1">
      <alignment vertical="center" wrapText="1"/>
    </xf>
    <xf numFmtId="4" fontId="16" fillId="5" borderId="4" xfId="0" applyNumberFormat="1" applyFont="1" applyFill="1" applyBorder="1" applyAlignment="1">
      <alignment vertical="center" wrapText="1"/>
    </xf>
    <xf numFmtId="4" fontId="10" fillId="5" borderId="1" xfId="0" applyNumberFormat="1" applyFont="1" applyFill="1" applyBorder="1" applyAlignment="1">
      <alignment vertical="center"/>
    </xf>
    <xf numFmtId="4" fontId="12" fillId="0" borderId="0" xfId="0" applyNumberFormat="1" applyFont="1" applyAlignment="1">
      <alignment horizontal="center" vertical="center"/>
    </xf>
    <xf numFmtId="4" fontId="26" fillId="0" borderId="0" xfId="0" applyNumberFormat="1" applyFont="1" applyAlignment="1">
      <alignment vertical="center"/>
    </xf>
    <xf numFmtId="4" fontId="10" fillId="0" borderId="34" xfId="0" applyNumberFormat="1" applyFont="1" applyBorder="1" applyAlignment="1">
      <alignment horizontal="center" vertical="center"/>
    </xf>
    <xf numFmtId="4" fontId="10" fillId="0" borderId="0" xfId="0" applyNumberFormat="1" applyFont="1" applyBorder="1" applyAlignment="1">
      <alignment horizontal="center" vertical="center"/>
    </xf>
    <xf numFmtId="4" fontId="10" fillId="0" borderId="3" xfId="0" applyNumberFormat="1" applyFont="1" applyBorder="1" applyAlignment="1">
      <alignment horizontal="center" vertical="center"/>
    </xf>
    <xf numFmtId="4" fontId="10" fillId="0" borderId="0" xfId="0" applyNumberFormat="1" applyFont="1" applyBorder="1" applyAlignment="1">
      <alignment horizontal="left" vertical="center" wrapText="1"/>
    </xf>
    <xf numFmtId="4" fontId="10" fillId="0" borderId="14" xfId="0" applyNumberFormat="1" applyFont="1" applyBorder="1" applyAlignment="1">
      <alignment horizontal="left" vertical="center" wrapText="1"/>
    </xf>
    <xf numFmtId="4" fontId="10" fillId="0" borderId="0" xfId="0" applyNumberFormat="1" applyFont="1" applyBorder="1" applyAlignment="1">
      <alignment horizontal="left" wrapText="1"/>
    </xf>
    <xf numFmtId="4" fontId="10" fillId="0" borderId="0" xfId="0" applyNumberFormat="1" applyFont="1" applyBorder="1" applyAlignment="1">
      <alignment horizontal="center" vertical="center" wrapText="1"/>
    </xf>
    <xf numFmtId="4" fontId="10" fillId="0" borderId="14" xfId="0" applyNumberFormat="1" applyFont="1" applyBorder="1" applyAlignment="1">
      <alignment horizontal="center" vertical="center" wrapText="1"/>
    </xf>
    <xf numFmtId="4" fontId="10" fillId="0" borderId="12" xfId="0" applyNumberFormat="1" applyFont="1" applyBorder="1" applyAlignment="1">
      <alignment horizontal="center" vertical="center" wrapText="1"/>
    </xf>
    <xf numFmtId="4" fontId="17" fillId="0" borderId="7" xfId="0" applyNumberFormat="1" applyFont="1" applyBorder="1" applyAlignment="1">
      <alignment horizontal="center" vertical="center" wrapText="1"/>
    </xf>
    <xf numFmtId="4" fontId="10" fillId="5" borderId="1" xfId="0" applyNumberFormat="1" applyFont="1" applyFill="1" applyBorder="1" applyAlignment="1">
      <alignment horizontal="center" vertical="center"/>
    </xf>
    <xf numFmtId="4" fontId="16" fillId="5" borderId="1" xfId="0" applyNumberFormat="1" applyFont="1" applyFill="1" applyBorder="1" applyAlignment="1">
      <alignment horizontal="center" vertical="center"/>
    </xf>
    <xf numFmtId="4" fontId="16" fillId="3" borderId="3" xfId="0" applyNumberFormat="1" applyFont="1" applyFill="1" applyBorder="1" applyAlignment="1">
      <alignment horizontal="center" vertical="center"/>
    </xf>
    <xf numFmtId="4" fontId="16" fillId="5" borderId="7" xfId="0" applyNumberFormat="1" applyFont="1" applyFill="1" applyBorder="1" applyAlignment="1">
      <alignment horizontal="center" vertical="center"/>
    </xf>
    <xf numFmtId="4" fontId="10" fillId="0" borderId="7" xfId="0" applyNumberFormat="1" applyFont="1" applyBorder="1" applyAlignment="1">
      <alignment horizontal="center" vertical="center"/>
    </xf>
    <xf numFmtId="4" fontId="10" fillId="5" borderId="10" xfId="0" applyNumberFormat="1" applyFont="1" applyFill="1" applyBorder="1" applyAlignment="1">
      <alignment horizontal="center" vertical="center"/>
    </xf>
    <xf numFmtId="4" fontId="16" fillId="5" borderId="12" xfId="0" applyNumberFormat="1" applyFont="1" applyFill="1" applyBorder="1" applyAlignment="1">
      <alignment horizontal="center" vertical="center"/>
    </xf>
    <xf numFmtId="4" fontId="10" fillId="0" borderId="14" xfId="0" applyNumberFormat="1" applyFont="1" applyBorder="1" applyAlignment="1">
      <alignment horizontal="center" vertical="center"/>
    </xf>
    <xf numFmtId="4" fontId="16" fillId="0" borderId="2" xfId="1" applyNumberFormat="1" applyFont="1" applyFill="1" applyBorder="1" applyAlignment="1">
      <alignment vertical="center"/>
    </xf>
    <xf numFmtId="4" fontId="10" fillId="5" borderId="3" xfId="0" applyNumberFormat="1" applyFont="1" applyFill="1" applyBorder="1" applyAlignment="1">
      <alignment horizontal="center" vertical="center"/>
    </xf>
    <xf numFmtId="4" fontId="10" fillId="0" borderId="3" xfId="0" applyNumberFormat="1" applyFont="1" applyFill="1" applyBorder="1" applyAlignment="1">
      <alignment horizontal="center" vertical="center"/>
    </xf>
    <xf numFmtId="4" fontId="16" fillId="5" borderId="2" xfId="0" applyNumberFormat="1" applyFont="1" applyFill="1" applyBorder="1" applyAlignment="1">
      <alignment horizontal="center" vertical="center"/>
    </xf>
    <xf numFmtId="4" fontId="16" fillId="7" borderId="2" xfId="1" applyNumberFormat="1" applyFont="1" applyFill="1" applyBorder="1" applyAlignment="1">
      <alignment vertical="center"/>
    </xf>
    <xf numFmtId="4" fontId="10" fillId="0" borderId="8" xfId="0" applyNumberFormat="1" applyFont="1" applyBorder="1" applyAlignment="1">
      <alignment horizontal="center" vertical="center"/>
    </xf>
    <xf numFmtId="4" fontId="16" fillId="5" borderId="8" xfId="0" applyNumberFormat="1" applyFont="1" applyFill="1" applyBorder="1" applyAlignment="1">
      <alignment horizontal="center" vertical="center"/>
    </xf>
    <xf numFmtId="4" fontId="10" fillId="5" borderId="2" xfId="0" applyNumberFormat="1" applyFont="1" applyFill="1" applyBorder="1" applyAlignment="1">
      <alignment horizontal="left" vertical="center"/>
    </xf>
    <xf numFmtId="4" fontId="10" fillId="5" borderId="2" xfId="0" applyNumberFormat="1" applyFont="1" applyFill="1" applyBorder="1" applyAlignment="1">
      <alignment vertical="center" wrapText="1"/>
    </xf>
    <xf numFmtId="4" fontId="17" fillId="0" borderId="0" xfId="0" applyNumberFormat="1" applyFont="1" applyAlignment="1">
      <alignment horizontal="center" vertical="center" wrapText="1"/>
    </xf>
    <xf numFmtId="4" fontId="17" fillId="0" borderId="34" xfId="0" applyNumberFormat="1" applyFont="1" applyBorder="1" applyAlignment="1">
      <alignment horizontal="center" vertical="center" wrapText="1"/>
    </xf>
    <xf numFmtId="4" fontId="17" fillId="0" borderId="0" xfId="0" applyNumberFormat="1" applyFont="1" applyBorder="1" applyAlignment="1">
      <alignment horizontal="center" vertical="center" wrapText="1"/>
    </xf>
    <xf numFmtId="4" fontId="7" fillId="0" borderId="0" xfId="0" applyNumberFormat="1" applyFont="1" applyBorder="1" applyAlignment="1">
      <alignment horizontal="center" vertical="center"/>
    </xf>
    <xf numFmtId="4" fontId="22" fillId="0" borderId="0" xfId="0" applyNumberFormat="1" applyFont="1" applyAlignment="1">
      <alignment horizontal="center" vertical="center"/>
    </xf>
    <xf numFmtId="4" fontId="16" fillId="7" borderId="2" xfId="1" applyNumberFormat="1" applyFont="1" applyFill="1" applyBorder="1" applyAlignment="1">
      <alignment horizontal="center" vertical="center"/>
    </xf>
    <xf numFmtId="4" fontId="16" fillId="0" borderId="2" xfId="1" applyNumberFormat="1" applyFont="1" applyFill="1" applyBorder="1" applyAlignment="1">
      <alignment horizontal="center" vertical="center"/>
    </xf>
    <xf numFmtId="0" fontId="10" fillId="0" borderId="9" xfId="0" applyFont="1" applyBorder="1" applyAlignment="1">
      <alignment vertical="center" wrapText="1"/>
    </xf>
    <xf numFmtId="0" fontId="17" fillId="5" borderId="2" xfId="0" applyFont="1" applyFill="1" applyBorder="1" applyAlignment="1">
      <alignment vertical="center" wrapText="1"/>
    </xf>
    <xf numFmtId="8" fontId="17" fillId="5" borderId="2" xfId="0" applyNumberFormat="1" applyFont="1" applyFill="1" applyBorder="1" applyAlignment="1">
      <alignment horizontal="right" vertical="center"/>
    </xf>
    <xf numFmtId="164" fontId="10" fillId="0" borderId="3" xfId="0" applyNumberFormat="1" applyFont="1" applyFill="1" applyBorder="1" applyAlignment="1">
      <alignment vertical="center"/>
    </xf>
    <xf numFmtId="8" fontId="16" fillId="0" borderId="2" xfId="0" applyNumberFormat="1" applyFont="1" applyBorder="1" applyAlignment="1">
      <alignment vertical="center"/>
    </xf>
    <xf numFmtId="8" fontId="17" fillId="5" borderId="2" xfId="0" applyNumberFormat="1" applyFont="1" applyFill="1" applyBorder="1" applyAlignment="1">
      <alignment vertical="center"/>
    </xf>
    <xf numFmtId="8" fontId="17" fillId="5" borderId="8" xfId="0" applyNumberFormat="1" applyFont="1" applyFill="1" applyBorder="1" applyAlignment="1">
      <alignment vertical="center"/>
    </xf>
    <xf numFmtId="0" fontId="10" fillId="0" borderId="9" xfId="0" applyFont="1" applyBorder="1" applyAlignment="1">
      <alignment vertical="center"/>
    </xf>
    <xf numFmtId="8" fontId="16" fillId="0" borderId="2" xfId="0" applyNumberFormat="1" applyFont="1" applyFill="1" applyBorder="1" applyAlignment="1">
      <alignment horizontal="right" vertical="center"/>
    </xf>
    <xf numFmtId="8" fontId="16" fillId="7" borderId="2" xfId="0" applyNumberFormat="1" applyFont="1" applyFill="1" applyBorder="1" applyAlignment="1">
      <alignment horizontal="right" vertical="center"/>
    </xf>
    <xf numFmtId="8" fontId="16" fillId="7" borderId="8" xfId="0" applyNumberFormat="1" applyFont="1" applyFill="1" applyBorder="1" applyAlignment="1">
      <alignment horizontal="right" vertical="center"/>
    </xf>
    <xf numFmtId="8" fontId="16" fillId="0" borderId="2" xfId="0" applyNumberFormat="1" applyFont="1" applyBorder="1" applyAlignment="1">
      <alignment horizontal="right" vertical="center"/>
    </xf>
    <xf numFmtId="8" fontId="16" fillId="0" borderId="9" xfId="0" applyNumberFormat="1" applyFont="1" applyBorder="1" applyAlignment="1">
      <alignment horizontal="right" vertical="center"/>
    </xf>
    <xf numFmtId="164" fontId="10" fillId="0" borderId="5" xfId="0" applyNumberFormat="1" applyFont="1" applyFill="1" applyBorder="1" applyAlignment="1">
      <alignment vertical="center"/>
    </xf>
    <xf numFmtId="164" fontId="17" fillId="5" borderId="10" xfId="0" applyNumberFormat="1" applyFont="1" applyFill="1" applyBorder="1" applyAlignment="1">
      <alignment vertical="center"/>
    </xf>
    <xf numFmtId="164" fontId="17" fillId="0" borderId="3" xfId="0" applyNumberFormat="1" applyFont="1" applyBorder="1" applyAlignment="1">
      <alignment vertical="center"/>
    </xf>
    <xf numFmtId="0" fontId="10" fillId="5" borderId="3" xfId="0" applyFont="1" applyFill="1" applyBorder="1" applyAlignment="1">
      <alignment vertical="center"/>
    </xf>
    <xf numFmtId="8" fontId="20" fillId="5" borderId="3" xfId="0" applyNumberFormat="1" applyFont="1" applyFill="1" applyBorder="1" applyAlignment="1">
      <alignment horizontal="right" vertical="center"/>
    </xf>
    <xf numFmtId="8" fontId="16" fillId="0" borderId="3" xfId="0" applyNumberFormat="1" applyFont="1" applyBorder="1" applyAlignment="1">
      <alignment horizontal="right" vertical="center"/>
    </xf>
    <xf numFmtId="8" fontId="16" fillId="0" borderId="5" xfId="0" applyNumberFormat="1" applyFont="1" applyFill="1" applyBorder="1" applyAlignment="1">
      <alignment horizontal="right" vertical="center"/>
    </xf>
    <xf numFmtId="0" fontId="17"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7" fillId="0" borderId="1" xfId="0" applyFont="1" applyFill="1" applyBorder="1" applyAlignment="1">
      <alignment horizontal="center" vertical="center" wrapText="1"/>
    </xf>
    <xf numFmtId="8" fontId="16" fillId="0" borderId="1" xfId="0" applyNumberFormat="1" applyFont="1" applyFill="1" applyBorder="1" applyAlignment="1">
      <alignment vertical="center"/>
    </xf>
    <xf numFmtId="164" fontId="10" fillId="0" borderId="1" xfId="0" applyNumberFormat="1" applyFont="1" applyFill="1" applyBorder="1" applyAlignment="1">
      <alignment vertical="center"/>
    </xf>
    <xf numFmtId="8" fontId="17" fillId="0" borderId="1" xfId="0" applyNumberFormat="1" applyFont="1" applyFill="1" applyBorder="1" applyAlignment="1">
      <alignment vertical="center"/>
    </xf>
    <xf numFmtId="8" fontId="16" fillId="0" borderId="1" xfId="0" applyNumberFormat="1" applyFont="1" applyFill="1" applyBorder="1" applyAlignment="1">
      <alignment horizontal="center" vertical="center"/>
    </xf>
    <xf numFmtId="0" fontId="10" fillId="0" borderId="1" xfId="0" applyFont="1" applyFill="1" applyBorder="1" applyAlignment="1">
      <alignment vertical="center"/>
    </xf>
    <xf numFmtId="8" fontId="16" fillId="0" borderId="1" xfId="0" applyNumberFormat="1" applyFont="1" applyFill="1" applyBorder="1" applyAlignment="1">
      <alignment horizontal="right" vertical="center"/>
    </xf>
    <xf numFmtId="164" fontId="17" fillId="0" borderId="1" xfId="0" applyNumberFormat="1" applyFont="1" applyFill="1" applyBorder="1" applyAlignment="1">
      <alignment vertical="center"/>
    </xf>
    <xf numFmtId="8" fontId="20" fillId="0" borderId="1" xfId="0" applyNumberFormat="1" applyFont="1" applyFill="1" applyBorder="1" applyAlignment="1">
      <alignment horizontal="right" vertical="center"/>
    </xf>
    <xf numFmtId="8" fontId="17" fillId="5" borderId="5" xfId="0" applyNumberFormat="1" applyFont="1" applyFill="1" applyBorder="1" applyAlignment="1">
      <alignment vertical="center"/>
    </xf>
    <xf numFmtId="44" fontId="10" fillId="0" borderId="3" xfId="0" applyNumberFormat="1" applyFont="1" applyFill="1" applyBorder="1" applyAlignment="1">
      <alignment horizontal="center" vertical="center" wrapText="1"/>
    </xf>
    <xf numFmtId="8" fontId="16" fillId="0" borderId="5" xfId="0" applyNumberFormat="1" applyFont="1" applyBorder="1" applyAlignment="1">
      <alignment horizontal="right" vertical="center"/>
    </xf>
    <xf numFmtId="8" fontId="17" fillId="5" borderId="3" xfId="0" applyNumberFormat="1" applyFont="1" applyFill="1" applyBorder="1" applyAlignment="1">
      <alignment vertical="center"/>
    </xf>
    <xf numFmtId="8" fontId="16" fillId="0" borderId="3" xfId="0" applyNumberFormat="1" applyFont="1" applyFill="1" applyBorder="1" applyAlignment="1">
      <alignment horizontal="center" vertical="center"/>
    </xf>
    <xf numFmtId="8" fontId="16" fillId="0" borderId="10" xfId="0" applyNumberFormat="1" applyFont="1" applyBorder="1" applyAlignment="1">
      <alignment horizontal="right" vertical="center"/>
    </xf>
    <xf numFmtId="0" fontId="10" fillId="0" borderId="2" xfId="0" applyFont="1" applyBorder="1" applyAlignment="1">
      <alignment vertical="center"/>
    </xf>
    <xf numFmtId="44" fontId="10" fillId="0" borderId="1" xfId="0" applyNumberFormat="1" applyFont="1" applyFill="1" applyBorder="1" applyAlignment="1">
      <alignment horizontal="center" vertical="center" wrapText="1"/>
    </xf>
    <xf numFmtId="8" fontId="17" fillId="0" borderId="2" xfId="0" applyNumberFormat="1" applyFont="1" applyFill="1" applyBorder="1" applyAlignment="1">
      <alignment vertical="center"/>
    </xf>
    <xf numFmtId="8" fontId="20" fillId="5" borderId="2" xfId="0" applyNumberFormat="1" applyFont="1" applyFill="1" applyBorder="1" applyAlignment="1">
      <alignment horizontal="right" vertical="center"/>
    </xf>
    <xf numFmtId="8" fontId="16" fillId="7" borderId="5" xfId="0" applyNumberFormat="1" applyFont="1" applyFill="1" applyBorder="1" applyAlignment="1">
      <alignment horizontal="right" vertical="center"/>
    </xf>
    <xf numFmtId="8" fontId="20" fillId="5" borderId="8" xfId="0" applyNumberFormat="1" applyFont="1" applyFill="1" applyBorder="1" applyAlignment="1">
      <alignment horizontal="right" vertical="center"/>
    </xf>
    <xf numFmtId="164" fontId="17" fillId="5" borderId="3" xfId="0" applyNumberFormat="1" applyFont="1" applyFill="1" applyBorder="1" applyAlignment="1">
      <alignment vertical="center" wrapText="1"/>
    </xf>
    <xf numFmtId="165" fontId="10" fillId="5" borderId="3" xfId="1" applyFont="1" applyFill="1" applyBorder="1" applyAlignment="1">
      <alignment vertical="center" wrapText="1"/>
    </xf>
    <xf numFmtId="164" fontId="17" fillId="0" borderId="1" xfId="0" applyNumberFormat="1" applyFont="1" applyFill="1" applyBorder="1" applyAlignment="1">
      <alignment vertical="center" wrapText="1"/>
    </xf>
    <xf numFmtId="165" fontId="10" fillId="0" borderId="1" xfId="1" applyFont="1" applyFill="1" applyBorder="1" applyAlignment="1">
      <alignment vertical="center" wrapText="1"/>
    </xf>
    <xf numFmtId="4" fontId="16" fillId="0" borderId="8" xfId="0" applyNumberFormat="1" applyFont="1" applyBorder="1" applyAlignment="1">
      <alignment horizontal="center" vertical="center" wrapText="1"/>
    </xf>
    <xf numFmtId="4" fontId="16" fillId="5" borderId="8"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4" fillId="5" borderId="2" xfId="0" applyNumberFormat="1" applyFont="1" applyFill="1" applyBorder="1" applyAlignment="1">
      <alignment horizontal="center" vertical="center"/>
    </xf>
    <xf numFmtId="10" fontId="6" fillId="5" borderId="2"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 fontId="16" fillId="0" borderId="1" xfId="0" applyNumberFormat="1" applyFont="1" applyFill="1" applyBorder="1" applyAlignment="1">
      <alignment horizontal="center" vertical="center" wrapText="1"/>
    </xf>
    <xf numFmtId="4" fontId="20" fillId="0" borderId="1" xfId="0" applyNumberFormat="1" applyFont="1" applyFill="1" applyBorder="1" applyAlignment="1">
      <alignment horizontal="center" vertical="center"/>
    </xf>
    <xf numFmtId="10" fontId="17" fillId="0" borderId="1" xfId="0" applyNumberFormat="1" applyFont="1" applyFill="1" applyBorder="1" applyAlignment="1">
      <alignment horizontal="center" vertical="center" wrapText="1"/>
    </xf>
    <xf numFmtId="0" fontId="17" fillId="5" borderId="1" xfId="0" applyFont="1" applyFill="1" applyBorder="1" applyAlignment="1">
      <alignment vertical="center" wrapText="1"/>
    </xf>
    <xf numFmtId="8" fontId="17" fillId="5" borderId="1" xfId="0" applyNumberFormat="1" applyFont="1" applyFill="1" applyBorder="1" applyAlignment="1">
      <alignment horizontal="right" vertical="center"/>
    </xf>
    <xf numFmtId="8" fontId="16" fillId="0" borderId="1" xfId="0" applyNumberFormat="1" applyFont="1" applyFill="1" applyBorder="1" applyAlignment="1">
      <alignment horizontal="right" vertical="center" wrapText="1"/>
    </xf>
    <xf numFmtId="8" fontId="16" fillId="0" borderId="1" xfId="0" applyNumberFormat="1" applyFont="1" applyFill="1" applyBorder="1" applyAlignment="1">
      <alignment horizontal="left" vertical="center" wrapText="1"/>
    </xf>
    <xf numFmtId="0" fontId="16" fillId="0" borderId="20" xfId="0" applyFont="1" applyFill="1" applyBorder="1" applyAlignment="1">
      <alignment horizontal="center" vertical="center"/>
    </xf>
    <xf numFmtId="0" fontId="16" fillId="0" borderId="19" xfId="0" applyFont="1" applyFill="1" applyBorder="1" applyAlignment="1">
      <alignment horizontal="center" vertical="center"/>
    </xf>
    <xf numFmtId="166" fontId="16" fillId="0" borderId="1" xfId="0" applyNumberFormat="1" applyFont="1" applyFill="1" applyBorder="1" applyAlignment="1">
      <alignment horizontal="center" vertical="center"/>
    </xf>
    <xf numFmtId="164" fontId="17" fillId="5" borderId="1" xfId="0" applyNumberFormat="1" applyFont="1" applyFill="1" applyBorder="1" applyAlignment="1">
      <alignment vertical="center"/>
    </xf>
    <xf numFmtId="0" fontId="10" fillId="5" borderId="1" xfId="0" applyFont="1" applyFill="1" applyBorder="1" applyAlignment="1">
      <alignment vertical="center"/>
    </xf>
    <xf numFmtId="8" fontId="16" fillId="0" borderId="3" xfId="0" applyNumberFormat="1" applyFont="1" applyFill="1" applyBorder="1" applyAlignment="1">
      <alignment horizontal="right" vertical="center"/>
    </xf>
    <xf numFmtId="0" fontId="16" fillId="0" borderId="22" xfId="0" applyFont="1" applyFill="1" applyBorder="1" applyAlignment="1">
      <alignment horizontal="center" vertical="center"/>
    </xf>
    <xf numFmtId="0" fontId="16" fillId="0" borderId="8" xfId="0" applyFont="1" applyFill="1" applyBorder="1" applyAlignment="1">
      <alignment horizontal="center" vertical="center"/>
    </xf>
    <xf numFmtId="4" fontId="16" fillId="6" borderId="1" xfId="0" applyNumberFormat="1"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8" xfId="0" applyFont="1" applyFill="1" applyBorder="1" applyAlignment="1">
      <alignment horizontal="left" vertical="center"/>
    </xf>
    <xf numFmtId="4" fontId="16" fillId="0" borderId="25" xfId="0" applyNumberFormat="1" applyFont="1" applyFill="1" applyBorder="1" applyAlignment="1">
      <alignment horizontal="center" vertical="center"/>
    </xf>
    <xf numFmtId="8" fontId="16" fillId="0" borderId="28" xfId="0" applyNumberFormat="1" applyFont="1" applyFill="1" applyBorder="1" applyAlignment="1">
      <alignment horizontal="right" vertical="center"/>
    </xf>
    <xf numFmtId="164" fontId="17" fillId="0" borderId="1" xfId="0" applyNumberFormat="1" applyFont="1" applyFill="1" applyBorder="1" applyAlignment="1">
      <alignment horizontal="right" vertical="center" wrapText="1"/>
    </xf>
    <xf numFmtId="165" fontId="10" fillId="5" borderId="4" xfId="1" applyFont="1" applyFill="1" applyBorder="1" applyAlignment="1">
      <alignment vertical="center" wrapText="1"/>
    </xf>
    <xf numFmtId="164" fontId="10" fillId="5" borderId="4" xfId="1" applyNumberFormat="1" applyFont="1" applyFill="1" applyBorder="1" applyAlignment="1">
      <alignment vertical="center" wrapText="1"/>
    </xf>
    <xf numFmtId="10" fontId="10" fillId="0" borderId="0" xfId="1" applyNumberFormat="1" applyFont="1" applyFill="1" applyBorder="1" applyAlignment="1">
      <alignment vertical="center" wrapText="1"/>
    </xf>
    <xf numFmtId="8" fontId="16" fillId="7" borderId="3" xfId="0" applyNumberFormat="1" applyFont="1" applyFill="1" applyBorder="1" applyAlignment="1">
      <alignment horizontal="right" vertical="center"/>
    </xf>
    <xf numFmtId="8" fontId="16" fillId="7" borderId="1" xfId="0" applyNumberFormat="1" applyFont="1" applyFill="1" applyBorder="1" applyAlignment="1">
      <alignment horizontal="right" vertical="center" wrapText="1"/>
    </xf>
    <xf numFmtId="0" fontId="10" fillId="7" borderId="0" xfId="0" applyFont="1" applyFill="1"/>
    <xf numFmtId="164" fontId="10" fillId="10" borderId="3" xfId="0" applyNumberFormat="1" applyFont="1" applyFill="1" applyBorder="1" applyAlignment="1">
      <alignment vertical="center"/>
    </xf>
    <xf numFmtId="8" fontId="16" fillId="10" borderId="2" xfId="0" applyNumberFormat="1" applyFont="1" applyFill="1" applyBorder="1" applyAlignment="1">
      <alignment vertical="center"/>
    </xf>
    <xf numFmtId="8" fontId="16" fillId="10" borderId="56" xfId="0" applyNumberFormat="1" applyFont="1" applyFill="1" applyBorder="1" applyAlignment="1">
      <alignment horizontal="center" vertical="center"/>
    </xf>
    <xf numFmtId="8" fontId="16" fillId="10" borderId="2" xfId="0" applyNumberFormat="1" applyFont="1" applyFill="1" applyBorder="1" applyAlignment="1">
      <alignment horizontal="right" vertical="center"/>
    </xf>
    <xf numFmtId="8" fontId="16" fillId="10" borderId="8" xfId="0" applyNumberFormat="1" applyFont="1" applyFill="1" applyBorder="1" applyAlignment="1">
      <alignment horizontal="right" vertical="center"/>
    </xf>
    <xf numFmtId="167" fontId="16" fillId="10" borderId="3" xfId="0" applyNumberFormat="1" applyFont="1" applyFill="1" applyBorder="1" applyAlignment="1">
      <alignment horizontal="right" vertical="center"/>
    </xf>
    <xf numFmtId="8" fontId="16" fillId="10" borderId="5" xfId="0" applyNumberFormat="1" applyFont="1" applyFill="1" applyBorder="1" applyAlignment="1">
      <alignment horizontal="right" vertical="center"/>
    </xf>
    <xf numFmtId="8" fontId="16" fillId="10" borderId="3" xfId="0" applyNumberFormat="1" applyFont="1" applyFill="1" applyBorder="1" applyAlignment="1">
      <alignment horizontal="right" vertical="center"/>
    </xf>
    <xf numFmtId="8" fontId="16" fillId="10" borderId="3" xfId="0" applyNumberFormat="1" applyFont="1" applyFill="1" applyBorder="1" applyAlignment="1">
      <alignment horizontal="center" vertical="center"/>
    </xf>
    <xf numFmtId="8" fontId="16" fillId="10" borderId="10" xfId="0" applyNumberFormat="1" applyFont="1" applyFill="1" applyBorder="1" applyAlignment="1">
      <alignment horizontal="right" vertical="center"/>
    </xf>
    <xf numFmtId="8" fontId="16" fillId="10" borderId="28" xfId="0" applyNumberFormat="1" applyFont="1" applyFill="1" applyBorder="1" applyAlignment="1">
      <alignment horizontal="right" vertical="center"/>
    </xf>
    <xf numFmtId="0" fontId="16" fillId="10" borderId="20" xfId="0" applyFont="1" applyFill="1" applyBorder="1" applyAlignment="1">
      <alignment horizontal="center" vertical="center"/>
    </xf>
    <xf numFmtId="2" fontId="16" fillId="10" borderId="1" xfId="0" applyNumberFormat="1" applyFont="1" applyFill="1" applyBorder="1" applyAlignment="1">
      <alignment horizontal="center" vertical="center"/>
    </xf>
    <xf numFmtId="0" fontId="16" fillId="10" borderId="1" xfId="0" applyFont="1" applyFill="1" applyBorder="1" applyAlignment="1">
      <alignment horizontal="center" vertical="center"/>
    </xf>
    <xf numFmtId="8" fontId="16" fillId="10" borderId="1" xfId="0" applyNumberFormat="1" applyFont="1" applyFill="1" applyBorder="1" applyAlignment="1">
      <alignment vertical="center"/>
    </xf>
    <xf numFmtId="0" fontId="10" fillId="10" borderId="0" xfId="0" applyFont="1" applyFill="1"/>
    <xf numFmtId="0" fontId="16" fillId="10" borderId="19" xfId="0" applyFont="1" applyFill="1" applyBorder="1" applyAlignment="1">
      <alignment horizontal="center" vertical="center"/>
    </xf>
    <xf numFmtId="4" fontId="16" fillId="10" borderId="1" xfId="0" applyNumberFormat="1" applyFont="1" applyFill="1" applyBorder="1" applyAlignment="1">
      <alignment horizontal="center" vertical="center"/>
    </xf>
    <xf numFmtId="2" fontId="16" fillId="10" borderId="7" xfId="0" applyNumberFormat="1" applyFont="1" applyFill="1" applyBorder="1" applyAlignment="1">
      <alignment horizontal="center" vertical="center"/>
    </xf>
    <xf numFmtId="8" fontId="16" fillId="10" borderId="1" xfId="0" applyNumberFormat="1" applyFont="1" applyFill="1" applyBorder="1" applyAlignment="1">
      <alignment horizontal="left" vertical="center"/>
    </xf>
    <xf numFmtId="0" fontId="10" fillId="10" borderId="19" xfId="0" applyFont="1" applyFill="1" applyBorder="1" applyAlignment="1">
      <alignment horizontal="center" vertical="center" wrapText="1"/>
    </xf>
    <xf numFmtId="0" fontId="10" fillId="10" borderId="0" xfId="0" applyFont="1" applyFill="1" applyAlignment="1">
      <alignment vertical="center"/>
    </xf>
    <xf numFmtId="8" fontId="16" fillId="10" borderId="1" xfId="0" applyNumberFormat="1" applyFont="1" applyFill="1" applyBorder="1" applyAlignment="1">
      <alignment horizontal="left" vertical="center" wrapText="1"/>
    </xf>
    <xf numFmtId="4" fontId="16" fillId="10" borderId="7" xfId="0" applyNumberFormat="1" applyFont="1" applyFill="1" applyBorder="1" applyAlignment="1">
      <alignment horizontal="center" vertical="center"/>
    </xf>
    <xf numFmtId="0" fontId="16" fillId="10" borderId="12" xfId="0" applyFont="1" applyFill="1" applyBorder="1" applyAlignment="1">
      <alignment horizontal="center" vertical="center"/>
    </xf>
    <xf numFmtId="0" fontId="16" fillId="10" borderId="48" xfId="0" applyFont="1" applyFill="1" applyBorder="1" applyAlignment="1">
      <alignment horizontal="center" vertical="center"/>
    </xf>
    <xf numFmtId="0" fontId="16" fillId="10" borderId="8" xfId="0" applyFont="1" applyFill="1" applyBorder="1" applyAlignment="1">
      <alignment horizontal="center" vertical="center"/>
    </xf>
    <xf numFmtId="4" fontId="16" fillId="10" borderId="8" xfId="0" applyNumberFormat="1" applyFont="1" applyFill="1" applyBorder="1" applyAlignment="1">
      <alignment horizontal="center" vertical="center"/>
    </xf>
    <xf numFmtId="0" fontId="10" fillId="10" borderId="3" xfId="0" applyFont="1" applyFill="1" applyBorder="1" applyAlignment="1">
      <alignment horizontal="left" vertical="center" wrapText="1"/>
    </xf>
    <xf numFmtId="0" fontId="10" fillId="10" borderId="4" xfId="0" applyFont="1" applyFill="1" applyBorder="1" applyAlignment="1">
      <alignment horizontal="left" vertical="center" wrapText="1"/>
    </xf>
    <xf numFmtId="0" fontId="16" fillId="10" borderId="2" xfId="0" applyFont="1" applyFill="1" applyBorder="1" applyAlignment="1">
      <alignment horizontal="center" vertical="center"/>
    </xf>
    <xf numFmtId="0" fontId="16" fillId="10" borderId="22" xfId="0" applyFont="1" applyFill="1" applyBorder="1" applyAlignment="1">
      <alignment horizontal="center" vertical="center"/>
    </xf>
    <xf numFmtId="0" fontId="10" fillId="10" borderId="3" xfId="0" applyFont="1" applyFill="1" applyBorder="1" applyAlignment="1">
      <alignment horizontal="center" vertical="center" wrapText="1"/>
    </xf>
    <xf numFmtId="0" fontId="10" fillId="10" borderId="4"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10" borderId="6" xfId="0" applyFont="1" applyFill="1" applyBorder="1" applyAlignment="1">
      <alignment horizontal="center" vertical="center" wrapText="1"/>
    </xf>
    <xf numFmtId="4" fontId="16" fillId="10" borderId="12" xfId="0" applyNumberFormat="1" applyFont="1" applyFill="1" applyBorder="1" applyAlignment="1">
      <alignment horizontal="center" vertical="center"/>
    </xf>
    <xf numFmtId="0" fontId="16" fillId="10" borderId="9" xfId="0" applyFont="1" applyFill="1" applyBorder="1" applyAlignment="1">
      <alignment horizontal="center" vertical="center"/>
    </xf>
    <xf numFmtId="0" fontId="16" fillId="10" borderId="7" xfId="0" applyFont="1" applyFill="1" applyBorder="1" applyAlignment="1">
      <alignment horizontal="center" vertical="center"/>
    </xf>
    <xf numFmtId="0" fontId="16" fillId="10" borderId="24" xfId="0" applyFont="1" applyFill="1" applyBorder="1" applyAlignment="1">
      <alignment horizontal="center" vertical="center"/>
    </xf>
    <xf numFmtId="4" fontId="16" fillId="10" borderId="25" xfId="0" applyNumberFormat="1" applyFont="1" applyFill="1" applyBorder="1" applyAlignment="1">
      <alignment horizontal="center" vertical="center"/>
    </xf>
    <xf numFmtId="0" fontId="16" fillId="10" borderId="27" xfId="0" applyFont="1" applyFill="1" applyBorder="1" applyAlignment="1">
      <alignment horizontal="center" vertical="center"/>
    </xf>
    <xf numFmtId="172" fontId="0" fillId="0" borderId="0" xfId="0" applyNumberFormat="1" applyAlignment="1">
      <alignment horizontal="center" vertical="center"/>
    </xf>
    <xf numFmtId="172" fontId="26" fillId="0" borderId="0" xfId="0" applyNumberFormat="1" applyFont="1" applyAlignment="1">
      <alignment horizontal="center" vertical="center"/>
    </xf>
    <xf numFmtId="172" fontId="8" fillId="0" borderId="0" xfId="0" applyNumberFormat="1" applyFont="1" applyAlignment="1">
      <alignment horizontal="center" vertical="center"/>
    </xf>
    <xf numFmtId="172" fontId="10" fillId="0" borderId="0" xfId="0" applyNumberFormat="1" applyFont="1" applyAlignment="1">
      <alignment horizontal="center" vertical="center"/>
    </xf>
    <xf numFmtId="172" fontId="10" fillId="0" borderId="0" xfId="0" applyNumberFormat="1" applyFont="1" applyAlignment="1">
      <alignment horizontal="center"/>
    </xf>
    <xf numFmtId="172" fontId="10" fillId="10" borderId="0" xfId="0" applyNumberFormat="1" applyFont="1" applyFill="1" applyAlignment="1">
      <alignment horizontal="center" vertical="center"/>
    </xf>
    <xf numFmtId="172" fontId="10" fillId="0" borderId="0" xfId="0" applyNumberFormat="1" applyFont="1" applyFill="1" applyAlignment="1">
      <alignment horizontal="center" vertical="center"/>
    </xf>
    <xf numFmtId="172" fontId="10" fillId="0" borderId="0" xfId="0" applyNumberFormat="1" applyFont="1" applyBorder="1" applyAlignment="1">
      <alignment horizontal="center" vertical="center"/>
    </xf>
    <xf numFmtId="172" fontId="10" fillId="7" borderId="0" xfId="0" applyNumberFormat="1" applyFont="1" applyFill="1" applyAlignment="1">
      <alignment horizontal="center" vertical="center"/>
    </xf>
    <xf numFmtId="172" fontId="16" fillId="0" borderId="0" xfId="0" applyNumberFormat="1" applyFont="1" applyAlignment="1">
      <alignment horizontal="center" vertical="center"/>
    </xf>
    <xf numFmtId="172" fontId="10" fillId="0" borderId="4" xfId="0" applyNumberFormat="1" applyFont="1" applyBorder="1" applyAlignment="1">
      <alignment horizontal="center" vertical="center"/>
    </xf>
    <xf numFmtId="172" fontId="10" fillId="0" borderId="4" xfId="0" applyNumberFormat="1" applyFont="1" applyFill="1" applyBorder="1" applyAlignment="1">
      <alignment horizontal="center" vertical="center"/>
    </xf>
    <xf numFmtId="172" fontId="10" fillId="0" borderId="36" xfId="0" applyNumberFormat="1" applyFont="1" applyBorder="1" applyAlignment="1">
      <alignment horizontal="center" vertical="center"/>
    </xf>
    <xf numFmtId="172" fontId="9" fillId="0" borderId="0" xfId="0" applyNumberFormat="1" applyFont="1" applyAlignment="1">
      <alignment horizontal="center" vertical="center"/>
    </xf>
    <xf numFmtId="172" fontId="10" fillId="0" borderId="0" xfId="0" applyNumberFormat="1" applyFont="1"/>
    <xf numFmtId="172" fontId="10" fillId="0" borderId="0" xfId="0" applyNumberFormat="1" applyFont="1" applyAlignment="1">
      <alignment vertical="center"/>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7" xfId="0" applyFont="1" applyBorder="1" applyAlignment="1">
      <alignment horizontal="center" vertical="center" wrapText="1"/>
    </xf>
    <xf numFmtId="0" fontId="20" fillId="5" borderId="3" xfId="0" applyFont="1" applyFill="1" applyBorder="1" applyAlignment="1">
      <alignment horizontal="center" vertical="center"/>
    </xf>
    <xf numFmtId="0" fontId="16" fillId="7" borderId="2"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17" fillId="5" borderId="3" xfId="0" applyFont="1" applyFill="1" applyBorder="1" applyAlignment="1">
      <alignment horizontal="center" vertical="center" wrapText="1"/>
    </xf>
    <xf numFmtId="0" fontId="16" fillId="7" borderId="3" xfId="0" applyFont="1" applyFill="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0" fillId="0" borderId="0" xfId="0" applyFont="1" applyBorder="1" applyAlignment="1">
      <alignment horizontal="center" vertical="center"/>
    </xf>
    <xf numFmtId="0" fontId="10" fillId="0" borderId="37" xfId="0" applyFont="1" applyBorder="1" applyAlignment="1">
      <alignment horizontal="center" vertical="center"/>
    </xf>
    <xf numFmtId="0" fontId="17" fillId="0" borderId="19" xfId="0" applyFont="1" applyBorder="1" applyAlignment="1">
      <alignment horizontal="center" vertical="center" wrapText="1"/>
    </xf>
    <xf numFmtId="0" fontId="16"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20" fillId="5" borderId="3"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0" fillId="0" borderId="3" xfId="0" applyFont="1" applyBorder="1" applyAlignment="1">
      <alignment vertical="center" wrapText="1"/>
    </xf>
    <xf numFmtId="0" fontId="10" fillId="0" borderId="3" xfId="0" applyFont="1" applyFill="1" applyBorder="1" applyAlignment="1">
      <alignment horizontal="center"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28" xfId="0" applyFont="1" applyFill="1" applyBorder="1" applyAlignment="1">
      <alignment horizontal="left" vertical="center" wrapText="1"/>
    </xf>
    <xf numFmtId="0" fontId="16" fillId="0" borderId="31" xfId="0" applyFont="1" applyFill="1" applyBorder="1" applyAlignment="1">
      <alignment horizontal="left" vertical="center" wrapText="1"/>
    </xf>
    <xf numFmtId="0" fontId="16" fillId="0" borderId="3" xfId="0" applyFont="1" applyFill="1" applyBorder="1" applyAlignment="1">
      <alignment horizontal="left" vertical="center"/>
    </xf>
    <xf numFmtId="0" fontId="17" fillId="5" borderId="17" xfId="0" applyFont="1" applyFill="1" applyBorder="1" applyAlignment="1">
      <alignment horizontal="center" vertical="center" wrapText="1"/>
    </xf>
    <xf numFmtId="0" fontId="10" fillId="0" borderId="19" xfId="0" applyFont="1" applyBorder="1" applyAlignment="1">
      <alignment horizontal="center" vertical="center" wrapText="1"/>
    </xf>
    <xf numFmtId="0" fontId="16" fillId="0" borderId="8"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20"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10" xfId="0" applyFont="1" applyBorder="1" applyAlignment="1">
      <alignment horizontal="center" vertical="center" wrapText="1"/>
    </xf>
    <xf numFmtId="4" fontId="17" fillId="5" borderId="1" xfId="0" applyNumberFormat="1" applyFont="1" applyFill="1" applyBorder="1" applyAlignment="1">
      <alignment horizontal="center" vertical="center" wrapText="1"/>
    </xf>
    <xf numFmtId="0" fontId="16" fillId="7" borderId="8" xfId="0" applyFont="1" applyFill="1" applyBorder="1" applyAlignment="1">
      <alignment horizontal="left" vertical="center" wrapText="1"/>
    </xf>
    <xf numFmtId="0" fontId="16" fillId="7" borderId="5" xfId="0" applyFont="1" applyFill="1" applyBorder="1" applyAlignment="1">
      <alignment horizontal="left" vertical="center" wrapText="1"/>
    </xf>
    <xf numFmtId="0" fontId="16" fillId="7" borderId="6" xfId="0" applyFont="1" applyFill="1" applyBorder="1" applyAlignment="1">
      <alignment horizontal="left" vertical="center" wrapText="1"/>
    </xf>
    <xf numFmtId="0" fontId="16" fillId="0" borderId="0" xfId="0" applyFont="1" applyBorder="1" applyAlignment="1">
      <alignment horizontal="left" vertical="center" wrapText="1"/>
    </xf>
    <xf numFmtId="0" fontId="16" fillId="7" borderId="1" xfId="0" applyFont="1" applyFill="1" applyBorder="1" applyAlignment="1">
      <alignment horizontal="left" vertical="center"/>
    </xf>
    <xf numFmtId="0" fontId="16" fillId="10" borderId="1" xfId="0" applyFont="1" applyFill="1" applyBorder="1" applyAlignment="1">
      <alignment horizontal="left" vertical="center"/>
    </xf>
    <xf numFmtId="0" fontId="16" fillId="10" borderId="7" xfId="0" applyFont="1" applyFill="1" applyBorder="1" applyAlignment="1">
      <alignment horizontal="left" vertical="center"/>
    </xf>
    <xf numFmtId="4" fontId="17" fillId="5" borderId="3" xfId="0" applyNumberFormat="1" applyFont="1" applyFill="1" applyBorder="1" applyAlignment="1">
      <alignment horizontal="center" vertical="center"/>
    </xf>
    <xf numFmtId="172" fontId="17" fillId="0" borderId="0" xfId="0" applyNumberFormat="1" applyFont="1" applyAlignment="1">
      <alignment horizontal="center" vertical="center"/>
    </xf>
    <xf numFmtId="0" fontId="17" fillId="0" borderId="0" xfId="0" applyFont="1"/>
    <xf numFmtId="164" fontId="10" fillId="0" borderId="0" xfId="0" applyNumberFormat="1" applyFont="1"/>
    <xf numFmtId="173" fontId="10" fillId="10" borderId="1" xfId="0" applyNumberFormat="1" applyFont="1" applyFill="1" applyBorder="1" applyAlignment="1">
      <alignment horizontal="center" vertical="center"/>
    </xf>
    <xf numFmtId="173" fontId="10" fillId="0" borderId="1" xfId="0" applyNumberFormat="1" applyFont="1" applyFill="1" applyBorder="1" applyAlignment="1">
      <alignment horizontal="center" vertical="center"/>
    </xf>
    <xf numFmtId="173" fontId="16" fillId="10" borderId="25" xfId="0" applyNumberFormat="1" applyFont="1" applyFill="1" applyBorder="1" applyAlignment="1">
      <alignment horizontal="center" vertical="center"/>
    </xf>
    <xf numFmtId="173" fontId="16" fillId="0" borderId="25" xfId="0" applyNumberFormat="1" applyFont="1" applyFill="1" applyBorder="1" applyAlignment="1">
      <alignment horizontal="center" vertical="center"/>
    </xf>
    <xf numFmtId="165" fontId="10" fillId="0" borderId="0" xfId="1" applyFont="1" applyFill="1" applyBorder="1" applyAlignment="1">
      <alignment vertical="center" wrapText="1"/>
    </xf>
    <xf numFmtId="172" fontId="10" fillId="10" borderId="0" xfId="0" applyNumberFormat="1" applyFont="1" applyFill="1"/>
    <xf numFmtId="172" fontId="10" fillId="0" borderId="0" xfId="0" applyNumberFormat="1" applyFont="1" applyFill="1" applyAlignment="1">
      <alignment vertical="center"/>
    </xf>
    <xf numFmtId="172" fontId="10" fillId="10" borderId="0" xfId="0" applyNumberFormat="1" applyFont="1" applyFill="1" applyAlignment="1">
      <alignment vertical="center"/>
    </xf>
    <xf numFmtId="172" fontId="10" fillId="0" borderId="0" xfId="0" applyNumberFormat="1" applyFont="1" applyFill="1"/>
    <xf numFmtId="172" fontId="10" fillId="7" borderId="0" xfId="0" applyNumberFormat="1" applyFont="1" applyFill="1"/>
    <xf numFmtId="172" fontId="16" fillId="0" borderId="0" xfId="0" applyNumberFormat="1" applyFont="1"/>
    <xf numFmtId="4" fontId="6"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7" xfId="0" applyFont="1" applyBorder="1" applyAlignment="1">
      <alignment horizontal="center" vertical="center" wrapText="1"/>
    </xf>
    <xf numFmtId="0" fontId="20" fillId="5" borderId="3" xfId="0" applyFont="1" applyFill="1" applyBorder="1" applyAlignment="1">
      <alignment horizontal="center" vertical="center"/>
    </xf>
    <xf numFmtId="0" fontId="16" fillId="7" borderId="2"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17" fillId="5" borderId="3" xfId="0" applyFont="1" applyFill="1" applyBorder="1" applyAlignment="1">
      <alignment horizontal="center" vertical="center" wrapText="1"/>
    </xf>
    <xf numFmtId="0" fontId="16" fillId="7" borderId="3" xfId="0" applyFont="1" applyFill="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0" fillId="0" borderId="0" xfId="0" applyFont="1" applyBorder="1" applyAlignment="1">
      <alignment horizontal="center" vertical="center"/>
    </xf>
    <xf numFmtId="0" fontId="10" fillId="0" borderId="37" xfId="0" applyFont="1" applyBorder="1" applyAlignment="1">
      <alignment horizontal="center" vertical="center"/>
    </xf>
    <xf numFmtId="0" fontId="17" fillId="0" borderId="19" xfId="0" applyFont="1" applyBorder="1" applyAlignment="1">
      <alignment horizontal="center" vertical="center" wrapText="1"/>
    </xf>
    <xf numFmtId="0" fontId="16"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20" fillId="5" borderId="3"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0" fillId="0" borderId="3" xfId="0" applyFont="1" applyBorder="1" applyAlignment="1">
      <alignment vertical="center" wrapText="1"/>
    </xf>
    <xf numFmtId="0" fontId="10" fillId="0" borderId="3" xfId="0" applyFont="1" applyFill="1" applyBorder="1" applyAlignment="1">
      <alignment horizontal="center"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7" fillId="5" borderId="17" xfId="0" applyFont="1" applyFill="1" applyBorder="1" applyAlignment="1">
      <alignment horizontal="center" vertical="center" wrapText="1"/>
    </xf>
    <xf numFmtId="0" fontId="10" fillId="0" borderId="19" xfId="0" applyFont="1" applyBorder="1" applyAlignment="1">
      <alignment horizontal="center" vertical="center" wrapText="1"/>
    </xf>
    <xf numFmtId="0" fontId="16" fillId="0" borderId="8"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20"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10" xfId="0" applyFont="1" applyBorder="1" applyAlignment="1">
      <alignment horizontal="center" vertical="center" wrapText="1"/>
    </xf>
    <xf numFmtId="4" fontId="17" fillId="5" borderId="1" xfId="0" applyNumberFormat="1" applyFont="1" applyFill="1" applyBorder="1" applyAlignment="1">
      <alignment horizontal="center" vertical="center" wrapText="1"/>
    </xf>
    <xf numFmtId="0" fontId="16" fillId="7" borderId="8" xfId="0" applyFont="1" applyFill="1" applyBorder="1" applyAlignment="1">
      <alignment horizontal="left" vertical="center" wrapText="1"/>
    </xf>
    <xf numFmtId="0" fontId="16" fillId="7" borderId="5" xfId="0" applyFont="1" applyFill="1" applyBorder="1" applyAlignment="1">
      <alignment horizontal="left" vertical="center" wrapText="1"/>
    </xf>
    <xf numFmtId="0" fontId="16" fillId="7" borderId="6" xfId="0" applyFont="1" applyFill="1" applyBorder="1" applyAlignment="1">
      <alignment horizontal="left" vertical="center" wrapText="1"/>
    </xf>
    <xf numFmtId="0" fontId="16" fillId="0" borderId="0" xfId="0" applyFont="1" applyBorder="1" applyAlignment="1">
      <alignment horizontal="left" vertical="center" wrapText="1"/>
    </xf>
    <xf numFmtId="0" fontId="16" fillId="7" borderId="1" xfId="0" applyFont="1" applyFill="1" applyBorder="1" applyAlignment="1">
      <alignment horizontal="left" vertical="center"/>
    </xf>
    <xf numFmtId="0" fontId="16" fillId="10" borderId="1" xfId="0" applyFont="1" applyFill="1" applyBorder="1" applyAlignment="1">
      <alignment horizontal="left" vertical="center"/>
    </xf>
    <xf numFmtId="0" fontId="16" fillId="10" borderId="7" xfId="0" applyFont="1" applyFill="1" applyBorder="1" applyAlignment="1">
      <alignment horizontal="left" vertical="center"/>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7" xfId="0" applyFont="1" applyBorder="1" applyAlignment="1">
      <alignment horizontal="center" vertical="center" wrapText="1"/>
    </xf>
    <xf numFmtId="0" fontId="20" fillId="5" borderId="3" xfId="0" applyFont="1" applyFill="1" applyBorder="1" applyAlignment="1">
      <alignment horizontal="center" vertical="center"/>
    </xf>
    <xf numFmtId="0" fontId="16" fillId="7" borderId="2"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17" fillId="5" borderId="3" xfId="0" applyFont="1" applyFill="1" applyBorder="1" applyAlignment="1">
      <alignment horizontal="center" vertical="center" wrapText="1"/>
    </xf>
    <xf numFmtId="0" fontId="16" fillId="7" borderId="3" xfId="0" applyFont="1" applyFill="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7" fillId="0" borderId="19" xfId="0" applyFont="1" applyBorder="1" applyAlignment="1">
      <alignment horizontal="center" vertical="center" wrapText="1"/>
    </xf>
    <xf numFmtId="0" fontId="16"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20" fillId="5" borderId="3"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0" fillId="0" borderId="3" xfId="0" applyFont="1" applyBorder="1" applyAlignment="1">
      <alignment vertical="center" wrapText="1"/>
    </xf>
    <xf numFmtId="0" fontId="10"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3" xfId="0" applyFont="1" applyFill="1" applyBorder="1" applyAlignment="1">
      <alignment horizontal="left" vertical="center"/>
    </xf>
    <xf numFmtId="0" fontId="10" fillId="0" borderId="19" xfId="0" applyFont="1" applyBorder="1" applyAlignment="1">
      <alignment horizontal="center" vertical="center" wrapText="1"/>
    </xf>
    <xf numFmtId="0" fontId="16" fillId="0" borderId="8"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20"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0" borderId="10" xfId="0" applyFont="1" applyBorder="1" applyAlignment="1">
      <alignment horizontal="center" vertical="center" wrapText="1"/>
    </xf>
    <xf numFmtId="4" fontId="17" fillId="5" borderId="1" xfId="0" applyNumberFormat="1" applyFont="1" applyFill="1" applyBorder="1" applyAlignment="1">
      <alignment horizontal="center" vertical="center" wrapText="1"/>
    </xf>
    <xf numFmtId="0" fontId="16" fillId="0" borderId="1" xfId="0" applyFont="1" applyFill="1" applyBorder="1" applyAlignment="1">
      <alignment horizontal="left" vertical="center"/>
    </xf>
    <xf numFmtId="0" fontId="16" fillId="7" borderId="1" xfId="0" applyFont="1" applyFill="1" applyBorder="1" applyAlignment="1">
      <alignment horizontal="left" vertical="center"/>
    </xf>
    <xf numFmtId="0" fontId="16" fillId="7" borderId="8" xfId="0" applyFont="1" applyFill="1" applyBorder="1" applyAlignment="1">
      <alignment horizontal="left" vertical="center" wrapText="1"/>
    </xf>
    <xf numFmtId="0" fontId="16" fillId="7" borderId="5" xfId="0" applyFont="1" applyFill="1" applyBorder="1" applyAlignment="1">
      <alignment horizontal="left" vertical="center" wrapText="1"/>
    </xf>
    <xf numFmtId="0" fontId="16" fillId="7" borderId="6" xfId="0" applyFont="1" applyFill="1" applyBorder="1" applyAlignment="1">
      <alignment horizontal="left" vertical="center" wrapText="1"/>
    </xf>
    <xf numFmtId="0" fontId="16" fillId="11" borderId="20" xfId="0" applyFont="1" applyFill="1" applyBorder="1" applyAlignment="1">
      <alignment horizontal="center" vertical="center"/>
    </xf>
    <xf numFmtId="2" fontId="16" fillId="11" borderId="1" xfId="0" applyNumberFormat="1" applyFont="1" applyFill="1" applyBorder="1" applyAlignment="1">
      <alignment horizontal="center" vertical="center"/>
    </xf>
    <xf numFmtId="0" fontId="16" fillId="11" borderId="2" xfId="0" applyFont="1" applyFill="1" applyBorder="1" applyAlignment="1">
      <alignment horizontal="center" vertical="center"/>
    </xf>
    <xf numFmtId="173" fontId="10" fillId="11" borderId="1" xfId="0" applyNumberFormat="1" applyFont="1" applyFill="1" applyBorder="1" applyAlignment="1">
      <alignment horizontal="center" vertical="center"/>
    </xf>
    <xf numFmtId="164" fontId="10" fillId="11" borderId="3" xfId="0" applyNumberFormat="1" applyFont="1" applyFill="1" applyBorder="1" applyAlignment="1">
      <alignment vertical="center"/>
    </xf>
    <xf numFmtId="8" fontId="16" fillId="11" borderId="1" xfId="0" applyNumberFormat="1" applyFont="1" applyFill="1" applyBorder="1" applyAlignment="1">
      <alignment horizontal="left" vertical="center" wrapText="1"/>
    </xf>
    <xf numFmtId="0" fontId="10" fillId="11" borderId="19" xfId="0" applyFont="1" applyFill="1" applyBorder="1" applyAlignment="1">
      <alignment horizontal="center" vertical="center" wrapText="1"/>
    </xf>
    <xf numFmtId="4" fontId="16" fillId="11" borderId="1" xfId="0" applyNumberFormat="1" applyFont="1" applyFill="1" applyBorder="1" applyAlignment="1">
      <alignment horizontal="center" vertical="center"/>
    </xf>
    <xf numFmtId="0" fontId="16" fillId="11" borderId="1" xfId="0" applyFont="1" applyFill="1" applyBorder="1" applyAlignment="1">
      <alignment horizontal="center" vertical="center"/>
    </xf>
    <xf numFmtId="8" fontId="16" fillId="11" borderId="2" xfId="0" applyNumberFormat="1" applyFont="1" applyFill="1" applyBorder="1" applyAlignment="1">
      <alignment horizontal="right" vertical="center"/>
    </xf>
    <xf numFmtId="4" fontId="16" fillId="11" borderId="13" xfId="0" applyNumberFormat="1" applyFont="1" applyFill="1" applyBorder="1" applyAlignment="1">
      <alignment horizontal="center" vertical="center"/>
    </xf>
    <xf numFmtId="0" fontId="16" fillId="11" borderId="12" xfId="0" applyFont="1" applyFill="1" applyBorder="1" applyAlignment="1">
      <alignment horizontal="center" vertical="center"/>
    </xf>
    <xf numFmtId="8" fontId="16" fillId="11" borderId="9" xfId="0" applyNumberFormat="1" applyFont="1" applyFill="1" applyBorder="1" applyAlignment="1">
      <alignment horizontal="right" vertical="center"/>
    </xf>
    <xf numFmtId="0" fontId="16" fillId="6" borderId="48" xfId="0" applyFont="1" applyFill="1" applyBorder="1" applyAlignment="1">
      <alignment horizontal="center" vertical="center"/>
    </xf>
    <xf numFmtId="0" fontId="16" fillId="6" borderId="20" xfId="0" applyFont="1" applyFill="1" applyBorder="1" applyAlignment="1">
      <alignment horizontal="center" vertical="center"/>
    </xf>
    <xf numFmtId="0" fontId="16" fillId="6" borderId="19" xfId="0" applyFont="1" applyFill="1" applyBorder="1" applyAlignment="1">
      <alignment horizontal="center" vertical="center"/>
    </xf>
    <xf numFmtId="0" fontId="16" fillId="11" borderId="19" xfId="0" applyFont="1" applyFill="1" applyBorder="1" applyAlignment="1">
      <alignment horizontal="center" vertical="center"/>
    </xf>
    <xf numFmtId="4" fontId="16" fillId="11" borderId="7" xfId="0" applyNumberFormat="1" applyFont="1" applyFill="1" applyBorder="1" applyAlignment="1">
      <alignment horizontal="center" vertical="center"/>
    </xf>
    <xf numFmtId="0" fontId="16" fillId="11" borderId="8" xfId="0" applyFont="1" applyFill="1" applyBorder="1" applyAlignment="1">
      <alignment horizontal="center" vertical="center"/>
    </xf>
    <xf numFmtId="164" fontId="10" fillId="11" borderId="5" xfId="0" applyNumberFormat="1" applyFont="1" applyFill="1" applyBorder="1" applyAlignment="1">
      <alignment vertical="center"/>
    </xf>
    <xf numFmtId="8" fontId="16" fillId="11" borderId="3" xfId="0" applyNumberFormat="1" applyFont="1" applyFill="1" applyBorder="1" applyAlignment="1">
      <alignment horizontal="right" vertical="center"/>
    </xf>
    <xf numFmtId="8" fontId="16" fillId="11" borderId="1" xfId="0" applyNumberFormat="1" applyFont="1" applyFill="1" applyBorder="1" applyAlignment="1">
      <alignment horizontal="right" vertical="center" wrapText="1"/>
    </xf>
    <xf numFmtId="44" fontId="10" fillId="11" borderId="3" xfId="0" applyNumberFormat="1" applyFont="1" applyFill="1" applyBorder="1" applyAlignment="1">
      <alignment horizontal="center" vertical="center" wrapText="1"/>
    </xf>
    <xf numFmtId="44" fontId="10" fillId="11" borderId="1" xfId="0" applyNumberFormat="1" applyFont="1" applyFill="1" applyBorder="1" applyAlignment="1">
      <alignment horizontal="center" vertical="center" wrapText="1"/>
    </xf>
    <xf numFmtId="0" fontId="16" fillId="11" borderId="22" xfId="0" applyFont="1" applyFill="1" applyBorder="1" applyAlignment="1">
      <alignment horizontal="center" vertical="center"/>
    </xf>
    <xf numFmtId="8" fontId="16" fillId="11" borderId="5" xfId="0" applyNumberFormat="1" applyFont="1" applyFill="1" applyBorder="1" applyAlignment="1">
      <alignment horizontal="right" vertical="center"/>
    </xf>
    <xf numFmtId="0" fontId="16" fillId="11" borderId="7" xfId="0" applyFont="1" applyFill="1" applyBorder="1" applyAlignment="1">
      <alignment horizontal="center" vertical="center"/>
    </xf>
    <xf numFmtId="0" fontId="16" fillId="11" borderId="3" xfId="0" applyFont="1" applyFill="1" applyBorder="1" applyAlignment="1">
      <alignment horizontal="left" vertical="center"/>
    </xf>
    <xf numFmtId="0" fontId="16" fillId="11" borderId="3" xfId="0" applyFont="1" applyFill="1" applyBorder="1" applyAlignment="1">
      <alignment horizontal="left" vertical="center" wrapText="1"/>
    </xf>
    <xf numFmtId="0" fontId="16" fillId="11" borderId="4" xfId="0" applyFont="1" applyFill="1" applyBorder="1" applyAlignment="1">
      <alignment horizontal="left" vertical="center" wrapText="1"/>
    </xf>
    <xf numFmtId="0" fontId="16" fillId="11" borderId="24" xfId="0" applyFont="1" applyFill="1" applyBorder="1" applyAlignment="1">
      <alignment horizontal="center" vertical="center"/>
    </xf>
    <xf numFmtId="0" fontId="16" fillId="11" borderId="28" xfId="0" applyFont="1" applyFill="1" applyBorder="1" applyAlignment="1">
      <alignment horizontal="left" vertical="center"/>
    </xf>
    <xf numFmtId="0" fontId="16" fillId="11" borderId="28" xfId="0" applyFont="1" applyFill="1" applyBorder="1" applyAlignment="1">
      <alignment horizontal="left" vertical="center" wrapText="1"/>
    </xf>
    <xf numFmtId="0" fontId="16" fillId="11" borderId="31" xfId="0" applyFont="1" applyFill="1" applyBorder="1" applyAlignment="1">
      <alignment horizontal="left" vertical="center" wrapText="1"/>
    </xf>
    <xf numFmtId="4" fontId="16" fillId="11" borderId="25" xfId="0" applyNumberFormat="1" applyFont="1" applyFill="1" applyBorder="1" applyAlignment="1">
      <alignment horizontal="center" vertical="center"/>
    </xf>
    <xf numFmtId="0" fontId="16" fillId="11" borderId="25" xfId="0" applyFont="1" applyFill="1" applyBorder="1" applyAlignment="1">
      <alignment horizontal="center" vertical="center"/>
    </xf>
    <xf numFmtId="173" fontId="16" fillId="11" borderId="25" xfId="0" applyNumberFormat="1" applyFont="1" applyFill="1" applyBorder="1" applyAlignment="1">
      <alignment horizontal="center" vertical="center"/>
    </xf>
    <xf numFmtId="8" fontId="16" fillId="11" borderId="28" xfId="0" applyNumberFormat="1" applyFont="1" applyFill="1" applyBorder="1" applyAlignment="1">
      <alignment horizontal="right" vertical="center"/>
    </xf>
    <xf numFmtId="4" fontId="16" fillId="6" borderId="7" xfId="0" applyNumberFormat="1" applyFont="1" applyFill="1" applyBorder="1" applyAlignment="1">
      <alignment horizontal="center" vertical="center"/>
    </xf>
    <xf numFmtId="0" fontId="16" fillId="6" borderId="2" xfId="0" applyFont="1" applyFill="1" applyBorder="1" applyAlignment="1">
      <alignment horizontal="center" vertical="center"/>
    </xf>
    <xf numFmtId="173" fontId="10" fillId="6" borderId="1" xfId="0" applyNumberFormat="1" applyFont="1" applyFill="1" applyBorder="1" applyAlignment="1">
      <alignment horizontal="center" vertical="center"/>
    </xf>
    <xf numFmtId="8" fontId="16" fillId="6" borderId="3" xfId="0" applyNumberFormat="1" applyFont="1" applyFill="1" applyBorder="1" applyAlignment="1">
      <alignment horizontal="right" vertical="center"/>
    </xf>
    <xf numFmtId="8" fontId="16" fillId="6" borderId="1" xfId="0" applyNumberFormat="1" applyFont="1" applyFill="1" applyBorder="1" applyAlignment="1">
      <alignment horizontal="left" vertical="center" wrapText="1"/>
    </xf>
    <xf numFmtId="166" fontId="16" fillId="6" borderId="1" xfId="0" applyNumberFormat="1" applyFont="1" applyFill="1" applyBorder="1" applyAlignment="1">
      <alignment horizontal="center" vertical="center"/>
    </xf>
    <xf numFmtId="0" fontId="16" fillId="6" borderId="1" xfId="0" applyFont="1" applyFill="1" applyBorder="1" applyAlignment="1">
      <alignment horizontal="center" vertical="center"/>
    </xf>
    <xf numFmtId="8" fontId="16" fillId="6" borderId="2" xfId="0" applyNumberFormat="1" applyFont="1" applyFill="1" applyBorder="1" applyAlignment="1">
      <alignment horizontal="right" vertical="center"/>
    </xf>
    <xf numFmtId="4" fontId="16" fillId="6" borderId="1" xfId="0" applyNumberFormat="1" applyFont="1" applyFill="1" applyBorder="1" applyAlignment="1">
      <alignment horizontal="center" vertical="center"/>
    </xf>
    <xf numFmtId="2" fontId="16" fillId="6" borderId="1" xfId="0" applyNumberFormat="1" applyFont="1" applyFill="1" applyBorder="1" applyAlignment="1">
      <alignment horizontal="center" vertical="center"/>
    </xf>
    <xf numFmtId="164" fontId="10" fillId="6" borderId="3" xfId="0" applyNumberFormat="1" applyFont="1" applyFill="1" applyBorder="1" applyAlignment="1">
      <alignment vertical="center"/>
    </xf>
    <xf numFmtId="2" fontId="16" fillId="0" borderId="1" xfId="0" applyNumberFormat="1" applyFont="1" applyFill="1" applyBorder="1" applyAlignment="1">
      <alignment horizontal="center" vertical="center"/>
    </xf>
    <xf numFmtId="172" fontId="10" fillId="0" borderId="1" xfId="0" applyNumberFormat="1" applyFont="1" applyFill="1" applyBorder="1" applyAlignment="1">
      <alignment horizontal="center" vertical="center"/>
    </xf>
    <xf numFmtId="8" fontId="16" fillId="0" borderId="2" xfId="0" applyNumberFormat="1" applyFont="1" applyFill="1" applyBorder="1" applyAlignment="1">
      <alignment vertical="center"/>
    </xf>
    <xf numFmtId="2" fontId="16" fillId="0" borderId="7" xfId="0" applyNumberFormat="1" applyFont="1" applyFill="1" applyBorder="1" applyAlignment="1">
      <alignment horizontal="center" vertical="center"/>
    </xf>
    <xf numFmtId="8" fontId="16" fillId="0" borderId="56" xfId="0" applyNumberFormat="1" applyFont="1" applyFill="1" applyBorder="1" applyAlignment="1">
      <alignment horizontal="center" vertical="center"/>
    </xf>
    <xf numFmtId="0" fontId="16" fillId="0" borderId="12" xfId="0" applyFont="1" applyFill="1" applyBorder="1" applyAlignment="1">
      <alignment horizontal="center" vertical="center"/>
    </xf>
    <xf numFmtId="8" fontId="16" fillId="0" borderId="8" xfId="0" applyNumberFormat="1" applyFont="1" applyFill="1" applyBorder="1" applyAlignment="1">
      <alignment horizontal="right" vertical="center"/>
    </xf>
    <xf numFmtId="4" fontId="16" fillId="0" borderId="13" xfId="0" applyNumberFormat="1" applyFont="1" applyFill="1" applyBorder="1" applyAlignment="1">
      <alignment horizontal="center" vertical="center"/>
    </xf>
    <xf numFmtId="8" fontId="16" fillId="0" borderId="9" xfId="0" applyNumberFormat="1" applyFont="1" applyFill="1" applyBorder="1" applyAlignment="1">
      <alignment horizontal="right" vertical="center"/>
    </xf>
    <xf numFmtId="167" fontId="16" fillId="0" borderId="3" xfId="0" applyNumberFormat="1" applyFont="1" applyFill="1" applyBorder="1" applyAlignment="1">
      <alignment horizontal="right" vertical="center"/>
    </xf>
    <xf numFmtId="4" fontId="16" fillId="0" borderId="8" xfId="0" applyNumberFormat="1" applyFont="1" applyFill="1" applyBorder="1" applyAlignment="1">
      <alignment horizontal="center" vertical="center"/>
    </xf>
    <xf numFmtId="0" fontId="10" fillId="0" borderId="4" xfId="0" applyFont="1" applyFill="1" applyBorder="1" applyAlignment="1">
      <alignment horizontal="left" vertical="center" wrapText="1"/>
    </xf>
    <xf numFmtId="0" fontId="16" fillId="0" borderId="7" xfId="0" applyFont="1" applyFill="1" applyBorder="1" applyAlignment="1">
      <alignment horizontal="left"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4" fontId="16" fillId="0" borderId="12" xfId="0" applyNumberFormat="1" applyFont="1" applyFill="1" applyBorder="1" applyAlignment="1">
      <alignment horizontal="center" vertical="center"/>
    </xf>
    <xf numFmtId="0" fontId="16" fillId="0" borderId="9" xfId="0" applyFont="1" applyFill="1" applyBorder="1" applyAlignment="1">
      <alignment horizontal="center" vertical="center"/>
    </xf>
    <xf numFmtId="173" fontId="16" fillId="0" borderId="12" xfId="0" applyNumberFormat="1" applyFont="1" applyFill="1" applyBorder="1" applyAlignment="1">
      <alignment horizontal="center" vertical="center"/>
    </xf>
    <xf numFmtId="8" fontId="16" fillId="0" borderId="12" xfId="0" applyNumberFormat="1" applyFont="1" applyFill="1" applyBorder="1" applyAlignment="1">
      <alignment horizontal="right" vertical="center"/>
    </xf>
    <xf numFmtId="164" fontId="10" fillId="5" borderId="3" xfId="1" applyNumberFormat="1" applyFont="1" applyFill="1" applyBorder="1" applyAlignment="1">
      <alignment vertical="center" wrapText="1"/>
    </xf>
    <xf numFmtId="164" fontId="17" fillId="0" borderId="4" xfId="0" applyNumberFormat="1" applyFont="1" applyFill="1" applyBorder="1" applyAlignment="1">
      <alignment vertical="center" wrapText="1"/>
    </xf>
    <xf numFmtId="165" fontId="10" fillId="0" borderId="4" xfId="1" applyFont="1" applyFill="1" applyBorder="1" applyAlignment="1">
      <alignment vertical="center" wrapText="1"/>
    </xf>
    <xf numFmtId="0" fontId="25" fillId="0" borderId="0" xfId="0" applyFont="1" applyFill="1" applyBorder="1" applyAlignment="1">
      <alignment horizontal="right" vertical="center"/>
    </xf>
    <xf numFmtId="0" fontId="17" fillId="0" borderId="4" xfId="0" applyFont="1" applyFill="1" applyBorder="1" applyAlignment="1">
      <alignment horizontal="left" vertical="center" wrapText="1"/>
    </xf>
    <xf numFmtId="0" fontId="10" fillId="0" borderId="4" xfId="0" applyFont="1" applyFill="1" applyBorder="1" applyAlignment="1">
      <alignment vertical="center" wrapText="1"/>
    </xf>
    <xf numFmtId="0" fontId="17" fillId="0" borderId="4" xfId="0" applyFont="1" applyFill="1" applyBorder="1" applyAlignment="1">
      <alignment horizontal="center" vertical="center" wrapText="1"/>
    </xf>
    <xf numFmtId="0" fontId="17" fillId="5" borderId="4" xfId="0" applyFont="1" applyFill="1" applyBorder="1" applyAlignment="1">
      <alignment vertical="center" wrapText="1"/>
    </xf>
    <xf numFmtId="8" fontId="17" fillId="5" borderId="4" xfId="0" applyNumberFormat="1" applyFont="1" applyFill="1" applyBorder="1" applyAlignment="1">
      <alignment horizontal="right" vertical="center"/>
    </xf>
    <xf numFmtId="8" fontId="16" fillId="0" borderId="4" xfId="0" applyNumberFormat="1" applyFont="1" applyFill="1" applyBorder="1" applyAlignment="1">
      <alignment vertical="center"/>
    </xf>
    <xf numFmtId="8" fontId="16" fillId="0" borderId="4" xfId="0" applyNumberFormat="1" applyFont="1" applyFill="1" applyBorder="1" applyAlignment="1">
      <alignment horizontal="left" vertical="center" wrapText="1"/>
    </xf>
    <xf numFmtId="8" fontId="17" fillId="5" borderId="4" xfId="0" applyNumberFormat="1" applyFont="1" applyFill="1" applyBorder="1" applyAlignment="1">
      <alignment vertical="center"/>
    </xf>
    <xf numFmtId="8" fontId="16" fillId="0" borderId="4" xfId="0" applyNumberFormat="1" applyFont="1" applyFill="1" applyBorder="1" applyAlignment="1">
      <alignment horizontal="left" vertical="center"/>
    </xf>
    <xf numFmtId="0" fontId="10" fillId="0" borderId="4" xfId="0" applyFont="1" applyFill="1" applyBorder="1" applyAlignment="1">
      <alignment vertical="center"/>
    </xf>
    <xf numFmtId="8" fontId="16" fillId="0" borderId="4" xfId="0" applyNumberFormat="1" applyFont="1" applyFill="1" applyBorder="1" applyAlignment="1">
      <alignment horizontal="right" vertical="center"/>
    </xf>
    <xf numFmtId="164" fontId="10" fillId="0" borderId="4" xfId="0" applyNumberFormat="1" applyFont="1" applyFill="1" applyBorder="1" applyAlignment="1">
      <alignment vertical="center"/>
    </xf>
    <xf numFmtId="164" fontId="17" fillId="5" borderId="4" xfId="0" applyNumberFormat="1" applyFont="1" applyFill="1" applyBorder="1" applyAlignment="1">
      <alignment vertical="center"/>
    </xf>
    <xf numFmtId="164" fontId="17" fillId="0" borderId="4" xfId="0" applyNumberFormat="1" applyFont="1" applyFill="1" applyBorder="1" applyAlignment="1">
      <alignment vertical="center"/>
    </xf>
    <xf numFmtId="0" fontId="10" fillId="5" borderId="4" xfId="0" applyFont="1" applyFill="1" applyBorder="1" applyAlignment="1">
      <alignment vertical="center"/>
    </xf>
    <xf numFmtId="8" fontId="20" fillId="5" borderId="4" xfId="0" applyNumberFormat="1" applyFont="1" applyFill="1" applyBorder="1" applyAlignment="1">
      <alignment horizontal="right" vertical="center"/>
    </xf>
    <xf numFmtId="8" fontId="16" fillId="0" borderId="4" xfId="0" applyNumberFormat="1" applyFont="1" applyFill="1" applyBorder="1" applyAlignment="1">
      <alignment horizontal="center" vertical="center"/>
    </xf>
    <xf numFmtId="8" fontId="16" fillId="0" borderId="4" xfId="0" applyNumberFormat="1" applyFont="1" applyFill="1" applyBorder="1" applyAlignment="1">
      <alignment horizontal="right" vertical="center" wrapText="1"/>
    </xf>
    <xf numFmtId="44" fontId="10" fillId="0" borderId="4" xfId="0" applyNumberFormat="1" applyFont="1" applyFill="1" applyBorder="1" applyAlignment="1">
      <alignment horizontal="center" vertical="center" wrapText="1"/>
    </xf>
    <xf numFmtId="8" fontId="17" fillId="0" borderId="4" xfId="0" applyNumberFormat="1" applyFont="1" applyFill="1" applyBorder="1" applyAlignment="1">
      <alignment vertical="center"/>
    </xf>
    <xf numFmtId="8" fontId="20" fillId="0" borderId="4" xfId="0" applyNumberFormat="1" applyFont="1" applyFill="1" applyBorder="1" applyAlignment="1">
      <alignment horizontal="right" vertical="center"/>
    </xf>
    <xf numFmtId="0" fontId="17" fillId="5" borderId="62" xfId="0" applyFont="1" applyFill="1" applyBorder="1" applyAlignment="1">
      <alignment horizontal="center" vertical="center" wrapText="1"/>
    </xf>
    <xf numFmtId="0" fontId="20" fillId="5" borderId="68" xfId="0" applyFont="1" applyFill="1" applyBorder="1" applyAlignment="1">
      <alignment horizontal="center" vertical="center"/>
    </xf>
    <xf numFmtId="0" fontId="16" fillId="0" borderId="62" xfId="0" applyFont="1" applyFill="1" applyBorder="1" applyAlignment="1">
      <alignment horizontal="center" vertical="center"/>
    </xf>
    <xf numFmtId="0" fontId="16" fillId="0" borderId="62" xfId="0" applyFont="1" applyBorder="1" applyAlignment="1">
      <alignment horizontal="center" vertical="center"/>
    </xf>
    <xf numFmtId="0" fontId="16" fillId="0" borderId="68" xfId="0" applyFont="1" applyFill="1" applyBorder="1" applyAlignment="1">
      <alignment horizontal="center" vertical="center"/>
    </xf>
    <xf numFmtId="0" fontId="16" fillId="0" borderId="70" xfId="0" applyFont="1" applyBorder="1" applyAlignment="1">
      <alignment horizontal="center" vertical="center"/>
    </xf>
    <xf numFmtId="0" fontId="20" fillId="5" borderId="64" xfId="0" applyFont="1" applyFill="1" applyBorder="1" applyAlignment="1">
      <alignment horizontal="center" vertical="center"/>
    </xf>
    <xf numFmtId="0" fontId="10" fillId="0" borderId="62" xfId="0" applyFont="1" applyBorder="1" applyAlignment="1">
      <alignment horizontal="center" vertical="center" wrapText="1"/>
    </xf>
    <xf numFmtId="0" fontId="10" fillId="0" borderId="68" xfId="0" applyFont="1" applyFill="1" applyBorder="1" applyAlignment="1">
      <alignment horizontal="center" vertical="center" wrapText="1"/>
    </xf>
    <xf numFmtId="0" fontId="10" fillId="7" borderId="64" xfId="0" applyFont="1" applyFill="1" applyBorder="1" applyAlignment="1">
      <alignment horizontal="center" vertical="center" wrapText="1"/>
    </xf>
    <xf numFmtId="0" fontId="17" fillId="5" borderId="64" xfId="0" applyFont="1" applyFill="1" applyBorder="1" applyAlignment="1">
      <alignment horizontal="center" vertical="center" wrapText="1"/>
    </xf>
    <xf numFmtId="0" fontId="16" fillId="0" borderId="66" xfId="0" applyFont="1" applyFill="1" applyBorder="1" applyAlignment="1">
      <alignment horizontal="center" vertical="center"/>
    </xf>
    <xf numFmtId="0" fontId="16" fillId="7" borderId="64" xfId="0" applyFont="1" applyFill="1" applyBorder="1" applyAlignment="1">
      <alignment horizontal="center" vertical="center"/>
    </xf>
    <xf numFmtId="0" fontId="10" fillId="5" borderId="64" xfId="0" applyFont="1" applyFill="1" applyBorder="1" applyAlignment="1">
      <alignment horizontal="center" vertical="center" wrapText="1"/>
    </xf>
    <xf numFmtId="0" fontId="16" fillId="0" borderId="68" xfId="0" applyFont="1" applyBorder="1" applyAlignment="1">
      <alignment horizontal="center" vertical="center"/>
    </xf>
    <xf numFmtId="0" fontId="10" fillId="5" borderId="73" xfId="0" applyFont="1" applyFill="1" applyBorder="1" applyAlignment="1">
      <alignment horizontal="center" vertical="center" wrapText="1"/>
    </xf>
    <xf numFmtId="0" fontId="10" fillId="0" borderId="73" xfId="0" applyFont="1" applyBorder="1" applyAlignment="1">
      <alignment horizontal="center" vertical="center" wrapText="1"/>
    </xf>
    <xf numFmtId="0" fontId="10" fillId="5" borderId="62" xfId="0" applyFont="1" applyFill="1" applyBorder="1" applyAlignment="1">
      <alignment horizontal="center" vertical="center" wrapText="1"/>
    </xf>
    <xf numFmtId="0" fontId="16" fillId="0" borderId="64" xfId="0" applyFont="1" applyBorder="1" applyAlignment="1">
      <alignment horizontal="center" vertical="center"/>
    </xf>
    <xf numFmtId="0" fontId="16" fillId="0" borderId="64" xfId="0" applyFont="1" applyFill="1" applyBorder="1" applyAlignment="1">
      <alignment horizontal="center" vertical="center"/>
    </xf>
    <xf numFmtId="0" fontId="10" fillId="0" borderId="68" xfId="0" applyFont="1" applyBorder="1" applyAlignment="1">
      <alignment horizontal="center" vertical="center" wrapText="1"/>
    </xf>
    <xf numFmtId="0" fontId="20" fillId="5" borderId="70" xfId="0" applyFont="1" applyFill="1" applyBorder="1" applyAlignment="1">
      <alignment horizontal="center" vertical="center"/>
    </xf>
    <xf numFmtId="0" fontId="16" fillId="7" borderId="68" xfId="0" applyFont="1" applyFill="1" applyBorder="1" applyAlignment="1">
      <alignment horizontal="center" vertical="center"/>
    </xf>
    <xf numFmtId="0" fontId="10" fillId="0" borderId="73" xfId="0" applyFont="1" applyFill="1" applyBorder="1" applyAlignment="1">
      <alignment horizontal="center" vertical="center" wrapText="1"/>
    </xf>
    <xf numFmtId="0" fontId="16" fillId="7" borderId="77" xfId="0" applyFont="1" applyFill="1" applyBorder="1" applyAlignment="1">
      <alignment horizontal="center" vertical="center"/>
    </xf>
    <xf numFmtId="0" fontId="16" fillId="7" borderId="75" xfId="0" applyFont="1" applyFill="1" applyBorder="1" applyAlignment="1">
      <alignment horizontal="center" vertical="center"/>
    </xf>
    <xf numFmtId="0" fontId="17" fillId="5" borderId="70"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0" fillId="0" borderId="5" xfId="0" applyFont="1" applyFill="1" applyBorder="1" applyAlignment="1">
      <alignment horizontal="center" vertical="center"/>
    </xf>
    <xf numFmtId="4" fontId="10" fillId="0" borderId="5" xfId="0" applyNumberFormat="1" applyFont="1" applyFill="1" applyBorder="1" applyAlignment="1">
      <alignment horizontal="center" vertical="center"/>
    </xf>
    <xf numFmtId="8" fontId="17" fillId="0" borderId="8" xfId="0" applyNumberFormat="1" applyFont="1" applyFill="1" applyBorder="1" applyAlignment="1">
      <alignment vertical="center"/>
    </xf>
    <xf numFmtId="0" fontId="10" fillId="5" borderId="84" xfId="0" applyFont="1" applyFill="1" applyBorder="1" applyAlignment="1">
      <alignment horizontal="center" vertical="center" wrapText="1"/>
    </xf>
    <xf numFmtId="0" fontId="10" fillId="5" borderId="82" xfId="0" applyFont="1" applyFill="1" applyBorder="1" applyAlignment="1">
      <alignment horizontal="center" vertical="center" wrapText="1"/>
    </xf>
    <xf numFmtId="0" fontId="16" fillId="5" borderId="82" xfId="0" applyFont="1" applyFill="1" applyBorder="1" applyAlignment="1">
      <alignment horizontal="center" vertical="center" wrapText="1"/>
    </xf>
    <xf numFmtId="0" fontId="20" fillId="5" borderId="82" xfId="0" applyFont="1" applyFill="1" applyBorder="1" applyAlignment="1">
      <alignment horizontal="center" vertical="center"/>
    </xf>
    <xf numFmtId="4" fontId="10" fillId="5" borderId="82" xfId="0" applyNumberFormat="1" applyFont="1" applyFill="1" applyBorder="1" applyAlignment="1">
      <alignment horizontal="center" vertical="center"/>
    </xf>
    <xf numFmtId="8" fontId="17" fillId="5" borderId="81" xfId="0" applyNumberFormat="1" applyFont="1" applyFill="1" applyBorder="1" applyAlignment="1">
      <alignment vertical="center"/>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17" fillId="0" borderId="22" xfId="0" applyFont="1" applyBorder="1" applyAlignment="1">
      <alignment horizontal="center" vertical="center" wrapText="1"/>
    </xf>
    <xf numFmtId="0" fontId="29" fillId="0" borderId="0" xfId="0" applyFont="1" applyAlignment="1">
      <alignment vertical="center"/>
    </xf>
    <xf numFmtId="0" fontId="30" fillId="0" borderId="0" xfId="0" applyFont="1" applyAlignment="1">
      <alignment horizontal="right" vertical="center"/>
    </xf>
    <xf numFmtId="0" fontId="30" fillId="0" borderId="0" xfId="0" applyFont="1" applyFill="1" applyBorder="1" applyAlignment="1">
      <alignment horizontal="right" vertical="center"/>
    </xf>
    <xf numFmtId="0" fontId="31" fillId="0" borderId="0" xfId="0" applyFont="1" applyFill="1" applyBorder="1" applyAlignment="1">
      <alignment vertical="center"/>
    </xf>
    <xf numFmtId="0" fontId="31" fillId="0" borderId="0" xfId="0" applyFont="1" applyFill="1" applyBorder="1" applyAlignment="1">
      <alignment horizontal="center" vertical="center"/>
    </xf>
    <xf numFmtId="0" fontId="31" fillId="0" borderId="0" xfId="0" applyFont="1" applyFill="1" applyBorder="1" applyAlignment="1">
      <alignment horizontal="center" vertical="center" wrapText="1"/>
    </xf>
    <xf numFmtId="0" fontId="32" fillId="0" borderId="0" xfId="0" applyFont="1" applyFill="1" applyBorder="1" applyAlignment="1">
      <alignment horizontal="left" vertical="center" wrapText="1"/>
    </xf>
    <xf numFmtId="0" fontId="31" fillId="0" borderId="0" xfId="0" applyFont="1" applyBorder="1" applyAlignment="1">
      <alignment horizontal="left" vertical="center"/>
    </xf>
    <xf numFmtId="0" fontId="31" fillId="0" borderId="0" xfId="0" applyFont="1" applyFill="1" applyBorder="1" applyAlignment="1">
      <alignment horizontal="left" vertical="center" wrapText="1"/>
    </xf>
    <xf numFmtId="0" fontId="33" fillId="0" borderId="0" xfId="2" applyFont="1" applyFill="1" applyBorder="1" applyAlignment="1" applyProtection="1">
      <alignment horizontal="center" vertical="center" wrapText="1"/>
    </xf>
    <xf numFmtId="0" fontId="32" fillId="0" borderId="0" xfId="0" applyFont="1" applyFill="1" applyBorder="1" applyAlignment="1">
      <alignment vertical="center" wrapText="1"/>
    </xf>
    <xf numFmtId="0" fontId="31" fillId="0" borderId="0" xfId="0" applyFont="1" applyBorder="1" applyAlignment="1">
      <alignment horizontal="left" vertical="center" wrapText="1"/>
    </xf>
    <xf numFmtId="0" fontId="32"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31" fillId="0" borderId="0" xfId="0" applyFont="1" applyBorder="1" applyAlignment="1">
      <alignment vertical="center" wrapText="1"/>
    </xf>
    <xf numFmtId="0" fontId="31" fillId="0" borderId="0" xfId="0" applyFont="1" applyBorder="1" applyAlignment="1">
      <alignment horizontal="center" vertical="center" wrapText="1"/>
    </xf>
    <xf numFmtId="0" fontId="31" fillId="7" borderId="0" xfId="0" applyFont="1" applyFill="1" applyBorder="1" applyAlignment="1">
      <alignment horizontal="left" vertical="center" wrapText="1"/>
    </xf>
    <xf numFmtId="0" fontId="32" fillId="5" borderId="61" xfId="0" applyFont="1" applyFill="1" applyBorder="1" applyAlignment="1">
      <alignment horizontal="left" vertical="center" wrapText="1"/>
    </xf>
    <xf numFmtId="0" fontId="31" fillId="0" borderId="63" xfId="0" applyFont="1" applyBorder="1" applyAlignment="1">
      <alignment horizontal="left" vertical="center" wrapText="1"/>
    </xf>
    <xf numFmtId="0" fontId="32" fillId="0" borderId="65" xfId="0" applyFont="1" applyBorder="1" applyAlignment="1">
      <alignment horizontal="left" vertical="center" wrapText="1"/>
    </xf>
    <xf numFmtId="0" fontId="32" fillId="0" borderId="67" xfId="0" applyFont="1" applyBorder="1" applyAlignment="1">
      <alignment horizontal="left" vertical="center" wrapText="1"/>
    </xf>
    <xf numFmtId="0" fontId="31" fillId="0" borderId="63" xfId="0" applyFont="1" applyBorder="1" applyAlignment="1">
      <alignment vertical="center" wrapText="1"/>
    </xf>
    <xf numFmtId="0" fontId="32" fillId="0" borderId="65" xfId="0" applyFont="1" applyBorder="1" applyAlignment="1">
      <alignment horizontal="center" vertical="center" wrapText="1"/>
    </xf>
    <xf numFmtId="0" fontId="32" fillId="5" borderId="69" xfId="0" applyFont="1" applyFill="1" applyBorder="1" applyAlignment="1">
      <alignment vertical="center" wrapText="1"/>
    </xf>
    <xf numFmtId="8" fontId="32" fillId="5" borderId="69" xfId="0" applyNumberFormat="1" applyFont="1" applyFill="1" applyBorder="1" applyAlignment="1">
      <alignment horizontal="right" vertical="center"/>
    </xf>
    <xf numFmtId="164" fontId="31" fillId="0" borderId="69" xfId="0" applyNumberFormat="1" applyFont="1" applyFill="1" applyBorder="1" applyAlignment="1">
      <alignment vertical="center"/>
    </xf>
    <xf numFmtId="8" fontId="34" fillId="0" borderId="69" xfId="0" applyNumberFormat="1" applyFont="1" applyBorder="1" applyAlignment="1">
      <alignment vertical="center"/>
    </xf>
    <xf numFmtId="8" fontId="32" fillId="5" borderId="69" xfId="0" applyNumberFormat="1" applyFont="1" applyFill="1" applyBorder="1" applyAlignment="1">
      <alignment vertical="center"/>
    </xf>
    <xf numFmtId="8" fontId="34" fillId="0" borderId="69" xfId="0" applyNumberFormat="1" applyFont="1" applyFill="1" applyBorder="1" applyAlignment="1">
      <alignment vertical="center"/>
    </xf>
    <xf numFmtId="8" fontId="34" fillId="0" borderId="71" xfId="0" applyNumberFormat="1" applyFont="1" applyBorder="1" applyAlignment="1">
      <alignment vertical="center"/>
    </xf>
    <xf numFmtId="8" fontId="32" fillId="5" borderId="65" xfId="0" applyNumberFormat="1" applyFont="1" applyFill="1" applyBorder="1" applyAlignment="1">
      <alignment vertical="center"/>
    </xf>
    <xf numFmtId="8" fontId="34" fillId="0" borderId="67" xfId="0" applyNumberFormat="1" applyFont="1" applyFill="1" applyBorder="1" applyAlignment="1">
      <alignment horizontal="center" vertical="center"/>
    </xf>
    <xf numFmtId="0" fontId="31" fillId="0" borderId="63" xfId="0" applyFont="1" applyBorder="1" applyAlignment="1">
      <alignment vertical="center"/>
    </xf>
    <xf numFmtId="8" fontId="34" fillId="0" borderId="69" xfId="0" applyNumberFormat="1" applyFont="1" applyFill="1" applyBorder="1" applyAlignment="1">
      <alignment horizontal="right" vertical="center"/>
    </xf>
    <xf numFmtId="8" fontId="34" fillId="7" borderId="65" xfId="0" applyNumberFormat="1" applyFont="1" applyFill="1" applyBorder="1" applyAlignment="1">
      <alignment horizontal="right" vertical="center"/>
    </xf>
    <xf numFmtId="8" fontId="34" fillId="0" borderId="65" xfId="0" applyNumberFormat="1" applyFont="1" applyFill="1" applyBorder="1" applyAlignment="1">
      <alignment horizontal="right" vertical="center"/>
    </xf>
    <xf numFmtId="8" fontId="34" fillId="0" borderId="63" xfId="0" applyNumberFormat="1" applyFont="1" applyFill="1" applyBorder="1" applyAlignment="1">
      <alignment horizontal="right" vertical="center"/>
    </xf>
    <xf numFmtId="164" fontId="31" fillId="0" borderId="72" xfId="0" applyNumberFormat="1" applyFont="1" applyFill="1" applyBorder="1" applyAlignment="1">
      <alignment vertical="center"/>
    </xf>
    <xf numFmtId="8" fontId="34" fillId="0" borderId="69" xfId="0" applyNumberFormat="1" applyFont="1" applyBorder="1" applyAlignment="1">
      <alignment horizontal="right" vertical="center"/>
    </xf>
    <xf numFmtId="164" fontId="32" fillId="5" borderId="69" xfId="0" applyNumberFormat="1" applyFont="1" applyFill="1" applyBorder="1" applyAlignment="1">
      <alignment vertical="center"/>
    </xf>
    <xf numFmtId="164" fontId="32" fillId="0" borderId="71" xfId="0" applyNumberFormat="1" applyFont="1" applyBorder="1" applyAlignment="1">
      <alignment vertical="center"/>
    </xf>
    <xf numFmtId="0" fontId="31" fillId="5" borderId="71" xfId="0" applyFont="1" applyFill="1" applyBorder="1" applyAlignment="1">
      <alignment vertical="center"/>
    </xf>
    <xf numFmtId="8" fontId="30" fillId="5" borderId="69" xfId="0" applyNumberFormat="1" applyFont="1" applyFill="1" applyBorder="1" applyAlignment="1">
      <alignment horizontal="right" vertical="center"/>
    </xf>
    <xf numFmtId="167" fontId="34" fillId="0" borderId="69" xfId="0" applyNumberFormat="1" applyFont="1" applyFill="1" applyBorder="1" applyAlignment="1">
      <alignment horizontal="right" vertical="center"/>
    </xf>
    <xf numFmtId="8" fontId="34" fillId="0" borderId="71" xfId="0" applyNumberFormat="1" applyFont="1" applyBorder="1" applyAlignment="1">
      <alignment horizontal="right" vertical="center"/>
    </xf>
    <xf numFmtId="8" fontId="32" fillId="5" borderId="72" xfId="0" applyNumberFormat="1" applyFont="1" applyFill="1" applyBorder="1" applyAlignment="1">
      <alignment vertical="center"/>
    </xf>
    <xf numFmtId="8" fontId="34" fillId="0" borderId="72" xfId="0" applyNumberFormat="1" applyFont="1" applyBorder="1" applyAlignment="1">
      <alignment horizontal="right" vertical="center"/>
    </xf>
    <xf numFmtId="0" fontId="31" fillId="0" borderId="71" xfId="0" applyFont="1" applyBorder="1" applyAlignment="1">
      <alignment vertical="center"/>
    </xf>
    <xf numFmtId="8" fontId="34" fillId="0" borderId="71" xfId="0" applyNumberFormat="1" applyFont="1" applyFill="1" applyBorder="1" applyAlignment="1">
      <alignment horizontal="center" vertical="center"/>
    </xf>
    <xf numFmtId="0" fontId="31" fillId="0" borderId="69" xfId="0" applyFont="1" applyBorder="1" applyAlignment="1">
      <alignment vertical="center"/>
    </xf>
    <xf numFmtId="8" fontId="34" fillId="0" borderId="76" xfId="0" applyNumberFormat="1" applyFont="1" applyBorder="1" applyAlignment="1">
      <alignment horizontal="right" vertical="center"/>
    </xf>
    <xf numFmtId="8" fontId="32" fillId="5" borderId="85" xfId="0" applyNumberFormat="1" applyFont="1" applyFill="1" applyBorder="1" applyAlignment="1">
      <alignment vertical="center"/>
    </xf>
    <xf numFmtId="8" fontId="32" fillId="0" borderId="65" xfId="0" applyNumberFormat="1" applyFont="1" applyFill="1" applyBorder="1" applyAlignment="1">
      <alignment vertical="center"/>
    </xf>
    <xf numFmtId="8" fontId="32" fillId="0" borderId="69" xfId="0" applyNumberFormat="1" applyFont="1" applyFill="1" applyBorder="1" applyAlignment="1">
      <alignment vertical="center"/>
    </xf>
    <xf numFmtId="0" fontId="32" fillId="5" borderId="71" xfId="0" applyFont="1" applyFill="1" applyBorder="1" applyAlignment="1">
      <alignment horizontal="center" vertical="center" wrapText="1"/>
    </xf>
    <xf numFmtId="8" fontId="34" fillId="7" borderId="69" xfId="0" applyNumberFormat="1" applyFont="1" applyFill="1" applyBorder="1" applyAlignment="1">
      <alignment horizontal="right" vertical="center"/>
    </xf>
    <xf numFmtId="8" fontId="34" fillId="7" borderId="72" xfId="0" applyNumberFormat="1" applyFont="1" applyFill="1" applyBorder="1" applyAlignment="1">
      <alignment horizontal="right" vertical="center"/>
    </xf>
    <xf numFmtId="8" fontId="34" fillId="7" borderId="74" xfId="0" applyNumberFormat="1" applyFont="1" applyFill="1" applyBorder="1" applyAlignment="1">
      <alignment horizontal="right" vertical="center"/>
    </xf>
    <xf numFmtId="8" fontId="34" fillId="7" borderId="78" xfId="0" applyNumberFormat="1" applyFont="1" applyFill="1" applyBorder="1" applyAlignment="1">
      <alignment horizontal="right" vertical="center"/>
    </xf>
    <xf numFmtId="8" fontId="30" fillId="5" borderId="65" xfId="0" applyNumberFormat="1" applyFont="1" applyFill="1" applyBorder="1" applyAlignment="1">
      <alignment horizontal="right" vertical="center"/>
    </xf>
    <xf numFmtId="164" fontId="32" fillId="5" borderId="69" xfId="0" applyNumberFormat="1" applyFont="1" applyFill="1" applyBorder="1" applyAlignment="1">
      <alignment vertical="center" wrapText="1"/>
    </xf>
    <xf numFmtId="164" fontId="31" fillId="5" borderId="69" xfId="0" applyNumberFormat="1" applyFont="1" applyFill="1" applyBorder="1" applyAlignment="1">
      <alignment vertical="center" wrapText="1"/>
    </xf>
    <xf numFmtId="165" fontId="31" fillId="5" borderId="69" xfId="1" applyFont="1" applyFill="1" applyBorder="1" applyAlignment="1">
      <alignment vertical="center" wrapText="1"/>
    </xf>
    <xf numFmtId="172" fontId="31" fillId="5" borderId="69" xfId="0" applyNumberFormat="1" applyFont="1" applyFill="1" applyBorder="1" applyAlignment="1">
      <alignment horizontal="right" vertical="center" wrapText="1"/>
    </xf>
    <xf numFmtId="164" fontId="31" fillId="5" borderId="69" xfId="1" applyNumberFormat="1" applyFont="1" applyFill="1" applyBorder="1" applyAlignment="1">
      <alignment vertical="center" wrapText="1"/>
    </xf>
    <xf numFmtId="0" fontId="32" fillId="2" borderId="83" xfId="0" applyFont="1" applyFill="1" applyBorder="1" applyAlignment="1">
      <alignment horizontal="left" vertical="center" wrapText="1"/>
    </xf>
    <xf numFmtId="0" fontId="31" fillId="0" borderId="0" xfId="0" applyFont="1" applyBorder="1" applyAlignment="1">
      <alignment vertical="center"/>
    </xf>
    <xf numFmtId="0" fontId="32" fillId="5" borderId="8" xfId="0" applyFont="1" applyFill="1" applyBorder="1" applyAlignment="1">
      <alignment horizontal="left" vertical="center" wrapText="1"/>
    </xf>
    <xf numFmtId="0" fontId="31" fillId="0" borderId="2" xfId="0" applyFont="1" applyBorder="1" applyAlignment="1">
      <alignment horizontal="center" vertical="center" wrapText="1"/>
    </xf>
    <xf numFmtId="10" fontId="32" fillId="5" borderId="2" xfId="0" applyNumberFormat="1" applyFont="1" applyFill="1" applyBorder="1" applyAlignment="1">
      <alignment horizontal="center" vertical="center" wrapText="1"/>
    </xf>
    <xf numFmtId="4" fontId="32" fillId="0" borderId="1" xfId="0" applyNumberFormat="1" applyFont="1" applyFill="1" applyBorder="1" applyAlignment="1">
      <alignment horizontal="center" vertical="center" wrapText="1"/>
    </xf>
    <xf numFmtId="0" fontId="32" fillId="5" borderId="3" xfId="0" applyFont="1" applyFill="1" applyBorder="1" applyAlignment="1">
      <alignment horizontal="left" vertical="center" wrapText="1"/>
    </xf>
    <xf numFmtId="0" fontId="32" fillId="5" borderId="2" xfId="0" applyFont="1" applyFill="1" applyBorder="1" applyAlignment="1">
      <alignment horizontal="center" vertical="center" wrapText="1"/>
    </xf>
    <xf numFmtId="4" fontId="32" fillId="5" borderId="4" xfId="0" applyNumberFormat="1" applyFont="1" applyFill="1" applyBorder="1" applyAlignment="1">
      <alignment horizontal="center" vertical="center" wrapText="1"/>
    </xf>
    <xf numFmtId="4" fontId="32" fillId="5" borderId="3" xfId="0" applyNumberFormat="1"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10" xfId="0" applyFont="1" applyBorder="1" applyAlignment="1">
      <alignment horizontal="center" vertical="center" wrapText="1"/>
    </xf>
    <xf numFmtId="0" fontId="32" fillId="0" borderId="34" xfId="0" applyFont="1" applyBorder="1" applyAlignment="1">
      <alignment horizontal="center" vertical="center" wrapText="1"/>
    </xf>
    <xf numFmtId="0" fontId="32" fillId="0" borderId="0" xfId="0" applyFont="1" applyBorder="1" applyAlignment="1">
      <alignment horizontal="center" vertical="center" wrapText="1"/>
    </xf>
    <xf numFmtId="0" fontId="32" fillId="5" borderId="0" xfId="0" applyFont="1" applyFill="1" applyBorder="1" applyAlignment="1">
      <alignment horizontal="center" vertical="center" wrapText="1"/>
    </xf>
    <xf numFmtId="0" fontId="31" fillId="0" borderId="37" xfId="0" applyFont="1" applyBorder="1" applyAlignment="1">
      <alignment vertical="center"/>
    </xf>
    <xf numFmtId="0" fontId="34" fillId="0" borderId="0" xfId="0" applyFont="1" applyBorder="1" applyAlignment="1">
      <alignment horizontal="center" vertical="center" wrapText="1"/>
    </xf>
    <xf numFmtId="0" fontId="31" fillId="0" borderId="37" xfId="0" applyFont="1" applyBorder="1" applyAlignment="1">
      <alignment horizontal="center" vertical="center" wrapText="1"/>
    </xf>
    <xf numFmtId="0" fontId="32" fillId="0" borderId="0" xfId="0" applyFont="1" applyBorder="1" applyAlignment="1">
      <alignment horizontal="center" vertical="center"/>
    </xf>
    <xf numFmtId="0" fontId="31" fillId="0" borderId="54" xfId="0" applyFont="1" applyBorder="1" applyAlignment="1">
      <alignment horizontal="center" vertical="center"/>
    </xf>
    <xf numFmtId="0" fontId="32" fillId="6" borderId="0" xfId="0" applyFont="1" applyFill="1" applyBorder="1" applyAlignment="1">
      <alignment horizontal="center" vertical="center" wrapText="1"/>
    </xf>
    <xf numFmtId="0" fontId="32" fillId="0" borderId="23" xfId="0" applyFont="1" applyBorder="1" applyAlignment="1">
      <alignment horizontal="center" vertical="center" wrapText="1"/>
    </xf>
    <xf numFmtId="164" fontId="32" fillId="5" borderId="15" xfId="0" applyNumberFormat="1" applyFont="1" applyFill="1" applyBorder="1" applyAlignment="1">
      <alignment vertical="center" wrapText="1"/>
    </xf>
    <xf numFmtId="8" fontId="32" fillId="5" borderId="15" xfId="0" applyNumberFormat="1" applyFont="1" applyFill="1" applyBorder="1" applyAlignment="1">
      <alignment horizontal="center" vertical="center"/>
    </xf>
    <xf numFmtId="8" fontId="34" fillId="7" borderId="15" xfId="0" applyNumberFormat="1" applyFont="1" applyFill="1" applyBorder="1" applyAlignment="1">
      <alignment vertical="center"/>
    </xf>
    <xf numFmtId="8" fontId="32" fillId="5" borderId="15" xfId="0" applyNumberFormat="1" applyFont="1" applyFill="1" applyBorder="1" applyAlignment="1">
      <alignment vertical="center"/>
    </xf>
    <xf numFmtId="8" fontId="34" fillId="7" borderId="15" xfId="0" applyNumberFormat="1" applyFont="1" applyFill="1" applyBorder="1" applyAlignment="1">
      <alignment horizontal="right" vertical="center"/>
    </xf>
    <xf numFmtId="8" fontId="32" fillId="5" borderId="23" xfId="0" applyNumberFormat="1" applyFont="1" applyFill="1" applyBorder="1" applyAlignment="1">
      <alignment vertical="center"/>
    </xf>
    <xf numFmtId="164" fontId="32" fillId="5" borderId="15" xfId="0" applyNumberFormat="1" applyFont="1" applyFill="1" applyBorder="1" applyAlignment="1">
      <alignment vertical="center"/>
    </xf>
    <xf numFmtId="8" fontId="34" fillId="0" borderId="15" xfId="0" applyNumberFormat="1" applyFont="1" applyBorder="1" applyAlignment="1">
      <alignment horizontal="right" vertical="center"/>
    </xf>
    <xf numFmtId="170" fontId="31" fillId="0" borderId="15" xfId="1" applyNumberFormat="1" applyFont="1" applyBorder="1" applyAlignment="1">
      <alignment vertical="center"/>
    </xf>
    <xf numFmtId="8" fontId="30" fillId="5" borderId="15" xfId="0" applyNumberFormat="1" applyFont="1" applyFill="1" applyBorder="1" applyAlignment="1">
      <alignment horizontal="right" vertical="center"/>
    </xf>
    <xf numFmtId="8" fontId="34" fillId="7" borderId="18" xfId="0" applyNumberFormat="1" applyFont="1" applyFill="1" applyBorder="1" applyAlignment="1">
      <alignment horizontal="right" vertical="center"/>
    </xf>
    <xf numFmtId="164" fontId="32" fillId="5" borderId="18" xfId="0" applyNumberFormat="1" applyFont="1" applyFill="1" applyBorder="1" applyAlignment="1">
      <alignment vertical="center" wrapText="1"/>
    </xf>
    <xf numFmtId="0" fontId="10" fillId="0" borderId="87" xfId="0" applyFont="1" applyBorder="1" applyAlignment="1">
      <alignment vertical="center"/>
    </xf>
    <xf numFmtId="0" fontId="10" fillId="0" borderId="88" xfId="0" applyFont="1" applyBorder="1" applyAlignment="1">
      <alignment vertical="center"/>
    </xf>
    <xf numFmtId="0" fontId="16" fillId="0" borderId="88" xfId="0" applyFont="1" applyBorder="1" applyAlignment="1">
      <alignment horizontal="center" vertical="center"/>
    </xf>
    <xf numFmtId="4" fontId="10" fillId="0" borderId="88" xfId="0" applyNumberFormat="1" applyFont="1" applyBorder="1" applyAlignment="1">
      <alignment horizontal="center" vertical="center"/>
    </xf>
    <xf numFmtId="0" fontId="10" fillId="0" borderId="89" xfId="0" applyFont="1" applyBorder="1" applyAlignment="1">
      <alignment vertical="center"/>
    </xf>
    <xf numFmtId="0" fontId="32" fillId="0" borderId="0" xfId="0" applyFont="1" applyBorder="1" applyAlignment="1">
      <alignment horizontal="left" vertical="center" wrapText="1"/>
    </xf>
    <xf numFmtId="0" fontId="0" fillId="0" borderId="0" xfId="0" applyAlignment="1">
      <alignment vertical="center"/>
    </xf>
    <xf numFmtId="172" fontId="0" fillId="0" borderId="0" xfId="0" applyNumberFormat="1"/>
    <xf numFmtId="172" fontId="8" fillId="0" borderId="0" xfId="0" applyNumberFormat="1" applyFont="1"/>
    <xf numFmtId="0" fontId="8" fillId="0" borderId="0" xfId="0" applyFont="1" applyAlignment="1">
      <alignment vertical="center"/>
    </xf>
    <xf numFmtId="0" fontId="37" fillId="4" borderId="86" xfId="0" applyFont="1" applyFill="1" applyBorder="1" applyAlignment="1">
      <alignment horizontal="center" vertical="center"/>
    </xf>
    <xf numFmtId="0" fontId="37" fillId="4" borderId="93" xfId="0" applyFont="1" applyFill="1" applyBorder="1" applyAlignment="1">
      <alignment horizontal="center" vertical="center"/>
    </xf>
    <xf numFmtId="0" fontId="8" fillId="0" borderId="77" xfId="0" applyFont="1" applyBorder="1" applyAlignment="1">
      <alignment vertical="center"/>
    </xf>
    <xf numFmtId="0" fontId="37" fillId="4" borderId="1" xfId="0" applyFont="1" applyFill="1" applyBorder="1" applyAlignment="1">
      <alignment horizontal="center" vertical="center"/>
    </xf>
    <xf numFmtId="0" fontId="32" fillId="4" borderId="86" xfId="0" applyFont="1" applyFill="1" applyBorder="1" applyAlignment="1">
      <alignment horizontal="center" vertical="center"/>
    </xf>
    <xf numFmtId="10" fontId="31" fillId="0" borderId="95" xfId="4" applyNumberFormat="1" applyFont="1" applyBorder="1" applyAlignment="1">
      <alignment vertical="center"/>
    </xf>
    <xf numFmtId="10" fontId="31" fillId="0" borderId="94" xfId="4" applyNumberFormat="1" applyFont="1" applyBorder="1" applyAlignment="1">
      <alignment vertical="center"/>
    </xf>
    <xf numFmtId="10" fontId="32" fillId="0" borderId="95" xfId="5" applyNumberFormat="1" applyFont="1" applyBorder="1" applyAlignment="1">
      <alignment vertical="center"/>
    </xf>
    <xf numFmtId="0" fontId="8" fillId="0" borderId="0" xfId="0" applyFont="1" applyBorder="1"/>
    <xf numFmtId="44" fontId="31" fillId="0" borderId="96" xfId="0" applyNumberFormat="1" applyFont="1" applyBorder="1" applyAlignment="1">
      <alignment vertical="center"/>
    </xf>
    <xf numFmtId="44" fontId="31" fillId="0" borderId="84" xfId="0" applyNumberFormat="1" applyFont="1" applyBorder="1" applyAlignment="1">
      <alignment vertical="center"/>
    </xf>
    <xf numFmtId="44" fontId="32" fillId="0" borderId="96" xfId="5" applyFont="1" applyBorder="1" applyAlignment="1">
      <alignment vertical="center"/>
    </xf>
    <xf numFmtId="10" fontId="32" fillId="0" borderId="95" xfId="4" applyNumberFormat="1" applyFont="1" applyFill="1" applyBorder="1" applyAlignment="1">
      <alignment horizontal="center" vertical="center"/>
    </xf>
    <xf numFmtId="10" fontId="32" fillId="0" borderId="98" xfId="4" applyNumberFormat="1" applyFont="1" applyFill="1" applyBorder="1" applyAlignment="1">
      <alignment horizontal="center" vertical="center"/>
    </xf>
    <xf numFmtId="10" fontId="32" fillId="0" borderId="94" xfId="4" applyNumberFormat="1" applyFont="1" applyFill="1" applyBorder="1" applyAlignment="1">
      <alignment horizontal="center" vertical="center"/>
    </xf>
    <xf numFmtId="44" fontId="32" fillId="0" borderId="12" xfId="5" applyFont="1" applyBorder="1" applyAlignment="1">
      <alignment vertical="center"/>
    </xf>
    <xf numFmtId="165" fontId="8" fillId="0" borderId="0" xfId="0" applyNumberFormat="1" applyFont="1"/>
    <xf numFmtId="44" fontId="32" fillId="0" borderId="7" xfId="5" applyFont="1" applyBorder="1" applyAlignment="1">
      <alignment vertical="center"/>
    </xf>
    <xf numFmtId="10" fontId="31" fillId="0" borderId="99" xfId="4" applyNumberFormat="1" applyFont="1" applyBorder="1" applyAlignment="1">
      <alignment vertical="center"/>
    </xf>
    <xf numFmtId="10" fontId="31" fillId="0" borderId="97" xfId="4" applyNumberFormat="1" applyFont="1" applyBorder="1" applyAlignment="1">
      <alignment vertical="center"/>
    </xf>
    <xf numFmtId="44" fontId="31" fillId="0" borderId="0" xfId="0" applyNumberFormat="1" applyFont="1" applyBorder="1" applyAlignment="1">
      <alignment vertical="center"/>
    </xf>
    <xf numFmtId="44" fontId="32" fillId="0" borderId="0" xfId="5" applyFont="1" applyBorder="1" applyAlignment="1">
      <alignment horizontal="center" vertical="center"/>
    </xf>
    <xf numFmtId="165" fontId="8" fillId="0" borderId="0" xfId="0" applyNumberFormat="1" applyFont="1" applyBorder="1"/>
    <xf numFmtId="44" fontId="32" fillId="0" borderId="1" xfId="5" applyFont="1" applyBorder="1" applyAlignment="1">
      <alignment horizontal="center" vertical="center"/>
    </xf>
    <xf numFmtId="0" fontId="39" fillId="0" borderId="77" xfId="0" applyFont="1" applyBorder="1" applyAlignment="1">
      <alignment horizontal="left" vertical="center" wrapText="1"/>
    </xf>
    <xf numFmtId="0" fontId="0" fillId="0" borderId="87" xfId="0" applyBorder="1" applyAlignment="1">
      <alignment vertical="center"/>
    </xf>
    <xf numFmtId="0" fontId="0" fillId="0" borderId="88" xfId="0" applyBorder="1" applyAlignment="1">
      <alignment vertical="center"/>
    </xf>
    <xf numFmtId="0" fontId="0" fillId="0" borderId="74" xfId="0" applyBorder="1" applyAlignment="1">
      <alignment vertical="center"/>
    </xf>
    <xf numFmtId="0" fontId="0" fillId="0" borderId="0" xfId="0" applyBorder="1"/>
    <xf numFmtId="10" fontId="35" fillId="0" borderId="77" xfId="0" applyNumberFormat="1" applyFont="1" applyBorder="1" applyAlignment="1">
      <alignment vertical="center"/>
    </xf>
    <xf numFmtId="0" fontId="0" fillId="0" borderId="0" xfId="0" applyBorder="1" applyAlignment="1">
      <alignment vertical="center"/>
    </xf>
    <xf numFmtId="165" fontId="0" fillId="0" borderId="74" xfId="0" applyNumberFormat="1" applyBorder="1" applyAlignment="1">
      <alignment vertical="center"/>
    </xf>
    <xf numFmtId="4" fontId="40" fillId="0" borderId="0" xfId="0" applyNumberFormat="1" applyFont="1"/>
    <xf numFmtId="0" fontId="0" fillId="0" borderId="77" xfId="0" applyBorder="1" applyAlignment="1">
      <alignment vertical="center"/>
    </xf>
    <xf numFmtId="4" fontId="0" fillId="0" borderId="0" xfId="0" applyNumberFormat="1" applyBorder="1"/>
    <xf numFmtId="165" fontId="40" fillId="0" borderId="0" xfId="0" applyNumberFormat="1" applyFont="1"/>
    <xf numFmtId="0" fontId="40" fillId="0" borderId="0" xfId="0" applyFont="1"/>
    <xf numFmtId="0" fontId="31" fillId="0" borderId="74" xfId="0" applyFont="1" applyBorder="1" applyAlignment="1">
      <alignment horizontal="right" vertical="center"/>
    </xf>
    <xf numFmtId="0" fontId="0" fillId="0" borderId="90" xfId="0" applyBorder="1" applyAlignment="1">
      <alignment vertical="center"/>
    </xf>
    <xf numFmtId="0" fontId="0" fillId="0" borderId="91" xfId="0" applyBorder="1" applyAlignment="1">
      <alignment vertical="center"/>
    </xf>
    <xf numFmtId="0" fontId="0" fillId="0" borderId="92" xfId="0" applyBorder="1" applyAlignment="1">
      <alignment vertical="center"/>
    </xf>
    <xf numFmtId="8" fontId="10" fillId="0" borderId="0" xfId="0" applyNumberFormat="1" applyFont="1" applyFill="1" applyAlignment="1">
      <alignment vertical="center"/>
    </xf>
    <xf numFmtId="172" fontId="32" fillId="5" borderId="3" xfId="0" applyNumberFormat="1" applyFont="1" applyFill="1" applyBorder="1" applyAlignment="1">
      <alignment horizontal="center" vertical="center" wrapText="1"/>
    </xf>
    <xf numFmtId="172" fontId="34" fillId="0" borderId="8" xfId="0" applyNumberFormat="1" applyFont="1" applyBorder="1" applyAlignment="1">
      <alignment horizontal="center" vertical="center" wrapText="1"/>
    </xf>
    <xf numFmtId="172" fontId="34" fillId="5" borderId="8" xfId="0" applyNumberFormat="1" applyFont="1" applyFill="1" applyBorder="1" applyAlignment="1">
      <alignment horizontal="center" vertical="center" wrapText="1"/>
    </xf>
    <xf numFmtId="172" fontId="34" fillId="0" borderId="3" xfId="0" applyNumberFormat="1" applyFont="1" applyFill="1" applyBorder="1" applyAlignment="1">
      <alignment horizontal="center" vertical="center" wrapText="1"/>
    </xf>
    <xf numFmtId="172" fontId="30" fillId="5" borderId="2" xfId="0" applyNumberFormat="1" applyFont="1" applyFill="1" applyBorder="1" applyAlignment="1">
      <alignment horizontal="center" vertical="center"/>
    </xf>
    <xf numFmtId="10" fontId="31" fillId="0" borderId="95" xfId="4" applyNumberFormat="1" applyFont="1" applyFill="1" applyBorder="1" applyAlignment="1">
      <alignment horizontal="center" vertical="center"/>
    </xf>
    <xf numFmtId="10" fontId="31" fillId="5" borderId="98" xfId="4" applyNumberFormat="1" applyFont="1" applyFill="1" applyBorder="1" applyAlignment="1">
      <alignment horizontal="center" vertical="center"/>
    </xf>
    <xf numFmtId="10" fontId="31" fillId="0" borderId="98" xfId="4" applyNumberFormat="1" applyFont="1" applyFill="1" applyBorder="1" applyAlignment="1">
      <alignment horizontal="center" vertical="center"/>
    </xf>
    <xf numFmtId="44" fontId="32" fillId="0" borderId="0" xfId="0" applyNumberFormat="1" applyFont="1" applyBorder="1" applyAlignment="1">
      <alignment vertical="center"/>
    </xf>
    <xf numFmtId="0" fontId="8" fillId="0" borderId="0" xfId="0" applyFont="1" applyBorder="1" applyAlignment="1">
      <alignment vertical="center"/>
    </xf>
    <xf numFmtId="0" fontId="38" fillId="0" borderId="77" xfId="0" applyFont="1" applyBorder="1" applyAlignment="1">
      <alignment vertical="center"/>
    </xf>
    <xf numFmtId="0" fontId="38" fillId="0" borderId="0" xfId="0" applyFont="1" applyBorder="1" applyAlignment="1">
      <alignment vertical="center"/>
    </xf>
    <xf numFmtId="0" fontId="38" fillId="0" borderId="74" xfId="0" applyFont="1" applyBorder="1" applyAlignment="1">
      <alignment vertical="center"/>
    </xf>
    <xf numFmtId="0" fontId="37" fillId="0" borderId="77" xfId="0" applyFont="1" applyBorder="1" applyAlignment="1">
      <alignment vertical="center"/>
    </xf>
    <xf numFmtId="0" fontId="8" fillId="0" borderId="74" xfId="0" applyFont="1" applyBorder="1" applyAlignment="1">
      <alignment vertical="center"/>
    </xf>
    <xf numFmtId="44" fontId="32" fillId="0" borderId="74" xfId="5" applyFont="1" applyBorder="1" applyAlignment="1">
      <alignment horizontal="center" vertical="center"/>
    </xf>
    <xf numFmtId="0" fontId="0" fillId="0" borderId="89" xfId="0" applyBorder="1" applyAlignment="1">
      <alignment vertical="center"/>
    </xf>
    <xf numFmtId="0" fontId="36" fillId="0" borderId="74" xfId="0" applyFont="1" applyBorder="1" applyAlignment="1">
      <alignment horizontal="right" vertical="center"/>
    </xf>
    <xf numFmtId="0" fontId="36" fillId="0" borderId="92" xfId="0" applyFont="1" applyBorder="1" applyAlignment="1">
      <alignment horizontal="right" vertical="center"/>
    </xf>
    <xf numFmtId="0" fontId="32" fillId="5" borderId="101" xfId="0" applyFont="1" applyFill="1" applyBorder="1" applyAlignment="1">
      <alignment horizontal="center" vertical="center" wrapText="1"/>
    </xf>
    <xf numFmtId="0" fontId="31" fillId="0" borderId="74" xfId="0" applyFont="1" applyBorder="1" applyAlignment="1">
      <alignment horizontal="center" vertical="center" wrapText="1"/>
    </xf>
    <xf numFmtId="0" fontId="10" fillId="0" borderId="77" xfId="0" applyFont="1" applyBorder="1" applyAlignment="1">
      <alignment horizontal="center" vertical="center" wrapText="1"/>
    </xf>
    <xf numFmtId="0" fontId="32" fillId="0" borderId="74" xfId="0" applyFont="1" applyBorder="1" applyAlignment="1">
      <alignment horizontal="center" vertical="center"/>
    </xf>
    <xf numFmtId="0" fontId="6" fillId="0" borderId="77" xfId="0" applyFont="1" applyBorder="1" applyAlignment="1">
      <alignment horizontal="center" vertical="center" wrapText="1"/>
    </xf>
    <xf numFmtId="0" fontId="31" fillId="0" borderId="74" xfId="0" applyFont="1" applyBorder="1" applyAlignment="1">
      <alignment horizontal="center" vertical="center"/>
    </xf>
    <xf numFmtId="0" fontId="17" fillId="0" borderId="77" xfId="0" applyFont="1" applyBorder="1" applyAlignment="1">
      <alignment horizontal="center" vertical="center" wrapText="1"/>
    </xf>
    <xf numFmtId="0" fontId="17" fillId="0" borderId="90" xfId="0" applyFont="1" applyBorder="1" applyAlignment="1">
      <alignment horizontal="center" vertical="center" wrapText="1"/>
    </xf>
    <xf numFmtId="0" fontId="17" fillId="0" borderId="91" xfId="0" applyFont="1" applyBorder="1" applyAlignment="1">
      <alignment horizontal="center" vertical="center" wrapText="1"/>
    </xf>
    <xf numFmtId="0" fontId="10" fillId="0" borderId="91" xfId="0" applyFont="1" applyBorder="1" applyAlignment="1">
      <alignment horizontal="center" vertical="center"/>
    </xf>
    <xf numFmtId="0" fontId="16" fillId="0" borderId="91" xfId="0" applyFont="1" applyBorder="1" applyAlignment="1">
      <alignment horizontal="center" vertical="center"/>
    </xf>
    <xf numFmtId="4" fontId="10" fillId="0" borderId="91" xfId="0" applyNumberFormat="1" applyFont="1" applyBorder="1" applyAlignment="1">
      <alignment horizontal="center" vertical="center"/>
    </xf>
    <xf numFmtId="0" fontId="31" fillId="0" borderId="92" xfId="0" applyFont="1" applyBorder="1" applyAlignment="1">
      <alignment horizontal="center" vertical="center"/>
    </xf>
    <xf numFmtId="10" fontId="45" fillId="0" borderId="0" xfId="1" applyNumberFormat="1" applyFont="1" applyFill="1" applyBorder="1" applyAlignment="1">
      <alignment vertical="center" wrapText="1"/>
    </xf>
    <xf numFmtId="164" fontId="46" fillId="0" borderId="4" xfId="0" applyNumberFormat="1" applyFont="1" applyFill="1" applyBorder="1" applyAlignment="1">
      <alignment horizontal="right"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8"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5" xfId="0" applyFont="1" applyBorder="1" applyAlignment="1">
      <alignment horizontal="left" vertical="center" wrapText="1"/>
    </xf>
    <xf numFmtId="0" fontId="9" fillId="0" borderId="36" xfId="0" applyFont="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9" fillId="0" borderId="37" xfId="0" applyFont="1" applyBorder="1" applyAlignment="1">
      <alignment horizontal="center" vertical="center"/>
    </xf>
    <xf numFmtId="0" fontId="20" fillId="5" borderId="8"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6" xfId="0" applyFont="1" applyFill="1" applyBorder="1" applyAlignment="1">
      <alignment horizontal="center" vertical="center"/>
    </xf>
    <xf numFmtId="0" fontId="17" fillId="4" borderId="19"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0" fillId="0" borderId="3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7" xfId="0" applyFont="1" applyBorder="1" applyAlignment="1">
      <alignment horizontal="center" vertical="center" wrapText="1"/>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 xfId="0" applyFont="1" applyFill="1" applyBorder="1" applyAlignment="1">
      <alignment horizontal="center" vertical="center"/>
    </xf>
    <xf numFmtId="0" fontId="16" fillId="7" borderId="2"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17" fillId="5" borderId="2"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21" fillId="7" borderId="9" xfId="0" applyFont="1" applyFill="1" applyBorder="1" applyAlignment="1">
      <alignment horizontal="left" vertical="center" wrapText="1"/>
    </xf>
    <xf numFmtId="0" fontId="21" fillId="7" borderId="10" xfId="0" applyFont="1" applyFill="1" applyBorder="1" applyAlignment="1">
      <alignment horizontal="left" vertical="center" wrapText="1"/>
    </xf>
    <xf numFmtId="0" fontId="21" fillId="7" borderId="11" xfId="0" applyFont="1" applyFill="1" applyBorder="1" applyAlignment="1">
      <alignment horizontal="left" vertical="center" wrapText="1"/>
    </xf>
    <xf numFmtId="0" fontId="20" fillId="5" borderId="1" xfId="0" applyFont="1" applyFill="1" applyBorder="1" applyAlignment="1">
      <alignment horizontal="center" vertical="center"/>
    </xf>
    <xf numFmtId="0" fontId="17" fillId="6" borderId="47" xfId="0" applyFont="1" applyFill="1" applyBorder="1" applyAlignment="1">
      <alignment horizontal="center" vertical="center" wrapText="1"/>
    </xf>
    <xf numFmtId="0" fontId="17" fillId="6" borderId="44" xfId="0" applyFont="1" applyFill="1" applyBorder="1" applyAlignment="1">
      <alignment horizontal="center" vertical="center" wrapText="1"/>
    </xf>
    <xf numFmtId="0" fontId="17" fillId="6" borderId="45" xfId="0" applyFont="1" applyFill="1" applyBorder="1" applyAlignment="1">
      <alignment horizontal="center" vertical="center" wrapText="1"/>
    </xf>
    <xf numFmtId="0" fontId="17" fillId="0" borderId="1" xfId="0" applyFont="1" applyBorder="1" applyAlignment="1">
      <alignment horizontal="center" vertical="center" wrapText="1"/>
    </xf>
    <xf numFmtId="0" fontId="16" fillId="7" borderId="2" xfId="0" applyFont="1" applyFill="1" applyBorder="1" applyAlignment="1">
      <alignment horizontal="left" vertical="center"/>
    </xf>
    <xf numFmtId="0" fontId="16" fillId="7" borderId="3" xfId="0" applyFont="1" applyFill="1" applyBorder="1" applyAlignment="1">
      <alignment horizontal="left" vertical="center"/>
    </xf>
    <xf numFmtId="0" fontId="16" fillId="7" borderId="4" xfId="0" applyFont="1" applyFill="1" applyBorder="1" applyAlignment="1">
      <alignment horizontal="left" vertical="center"/>
    </xf>
    <xf numFmtId="0" fontId="16" fillId="0" borderId="1" xfId="0" applyFont="1" applyBorder="1" applyAlignment="1">
      <alignment horizontal="left" vertical="center" wrapText="1"/>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0" fillId="0" borderId="4" xfId="0" applyFont="1" applyBorder="1" applyAlignment="1">
      <alignment horizontal="left" vertical="center" wrapText="1"/>
    </xf>
    <xf numFmtId="0" fontId="16" fillId="7" borderId="1" xfId="0" applyFont="1" applyFill="1" applyBorder="1" applyAlignment="1">
      <alignment horizontal="left" vertical="center" wrapText="1"/>
    </xf>
    <xf numFmtId="0" fontId="17" fillId="5" borderId="8"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0" borderId="48" xfId="0" applyFont="1" applyBorder="1" applyAlignment="1">
      <alignment horizontal="left" vertical="center" wrapText="1"/>
    </xf>
    <xf numFmtId="0" fontId="17" fillId="0" borderId="13" xfId="0" applyFont="1" applyBorder="1" applyAlignment="1">
      <alignment horizontal="left" vertical="center" wrapText="1"/>
    </xf>
    <xf numFmtId="0" fontId="17" fillId="0" borderId="30" xfId="0" applyFont="1" applyBorder="1" applyAlignment="1">
      <alignment horizontal="left" vertical="center" wrapText="1"/>
    </xf>
    <xf numFmtId="0" fontId="10" fillId="0" borderId="25" xfId="0" applyFont="1" applyBorder="1" applyAlignment="1">
      <alignment horizontal="center" vertical="center" wrapText="1"/>
    </xf>
    <xf numFmtId="0" fontId="10" fillId="7" borderId="27" xfId="0" applyFont="1" applyFill="1" applyBorder="1" applyAlignment="1">
      <alignment horizontal="left" vertical="center" wrapText="1"/>
    </xf>
    <xf numFmtId="0" fontId="10" fillId="7" borderId="28" xfId="0" applyFont="1" applyFill="1" applyBorder="1" applyAlignment="1">
      <alignment horizontal="left" vertical="center" wrapText="1"/>
    </xf>
    <xf numFmtId="0" fontId="10" fillId="7" borderId="40" xfId="0" applyFont="1" applyFill="1" applyBorder="1" applyAlignment="1">
      <alignment horizontal="left" vertical="center" wrapText="1"/>
    </xf>
    <xf numFmtId="0" fontId="10" fillId="7" borderId="2" xfId="0" applyFont="1" applyFill="1" applyBorder="1" applyAlignment="1">
      <alignment horizontal="left" vertical="center" wrapText="1"/>
    </xf>
    <xf numFmtId="0" fontId="10" fillId="7" borderId="3" xfId="0" applyFont="1" applyFill="1" applyBorder="1" applyAlignment="1">
      <alignment horizontal="left" vertical="center" wrapText="1"/>
    </xf>
    <xf numFmtId="0" fontId="10" fillId="7" borderId="18" xfId="0" applyFont="1" applyFill="1" applyBorder="1" applyAlignment="1">
      <alignment horizontal="left" vertical="center" wrapText="1"/>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10" fillId="0" borderId="40" xfId="0" applyFont="1" applyBorder="1" applyAlignment="1">
      <alignment horizontal="left" vertical="center" wrapText="1"/>
    </xf>
    <xf numFmtId="0" fontId="10" fillId="0" borderId="42" xfId="0" applyFont="1" applyBorder="1" applyAlignment="1">
      <alignment horizontal="center" vertical="center" wrapText="1"/>
    </xf>
    <xf numFmtId="0" fontId="10" fillId="0" borderId="43" xfId="0" applyFont="1" applyBorder="1" applyAlignment="1">
      <alignment horizontal="left" vertical="center" wrapText="1"/>
    </xf>
    <xf numFmtId="0" fontId="10" fillId="0" borderId="44" xfId="0" applyFont="1" applyBorder="1" applyAlignment="1">
      <alignment horizontal="left" vertical="center" wrapText="1"/>
    </xf>
    <xf numFmtId="0" fontId="10" fillId="0" borderId="45" xfId="0" applyFont="1" applyBorder="1" applyAlignment="1">
      <alignment horizontal="left" vertical="center" wrapText="1"/>
    </xf>
    <xf numFmtId="0" fontId="10" fillId="0" borderId="12" xfId="0" applyFont="1" applyBorder="1" applyAlignment="1">
      <alignment horizontal="center" vertical="center" wrapText="1"/>
    </xf>
    <xf numFmtId="0" fontId="10" fillId="7" borderId="2"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1" xfId="0" applyFont="1" applyFill="1" applyBorder="1" applyAlignment="1">
      <alignment vertical="center" wrapText="1"/>
    </xf>
    <xf numFmtId="0" fontId="10" fillId="7" borderId="15" xfId="0" applyFont="1" applyFill="1" applyBorder="1" applyAlignment="1">
      <alignment vertical="center" wrapText="1"/>
    </xf>
    <xf numFmtId="0" fontId="10" fillId="7" borderId="1"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12" xfId="0" applyFont="1" applyFill="1" applyBorder="1" applyAlignment="1">
      <alignment vertical="center" wrapText="1"/>
    </xf>
    <xf numFmtId="0" fontId="10" fillId="7" borderId="21" xfId="0" applyFont="1" applyFill="1" applyBorder="1" applyAlignment="1">
      <alignment vertical="center" wrapText="1"/>
    </xf>
    <xf numFmtId="0" fontId="17" fillId="6" borderId="17"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18" xfId="0" applyFont="1" applyFill="1" applyBorder="1" applyAlignment="1">
      <alignment horizontal="center" vertical="center" wrapText="1"/>
    </xf>
    <xf numFmtId="0" fontId="10" fillId="7" borderId="1" xfId="0" applyFont="1" applyFill="1" applyBorder="1" applyAlignment="1">
      <alignment horizontal="left" vertical="center" wrapText="1"/>
    </xf>
    <xf numFmtId="0" fontId="10" fillId="7" borderId="15" xfId="0" applyFont="1" applyFill="1" applyBorder="1" applyAlignment="1">
      <alignment horizontal="left" vertical="center" wrapText="1"/>
    </xf>
    <xf numFmtId="0" fontId="10" fillId="0" borderId="42" xfId="0" applyFont="1" applyBorder="1" applyAlignment="1">
      <alignment horizontal="left" vertical="center" wrapText="1"/>
    </xf>
    <xf numFmtId="0" fontId="10" fillId="0" borderId="16" xfId="0" applyFont="1" applyBorder="1" applyAlignment="1">
      <alignment horizontal="left" vertical="center" wrapText="1"/>
    </xf>
    <xf numFmtId="0" fontId="10" fillId="0" borderId="12" xfId="0" applyFont="1" applyBorder="1" applyAlignment="1">
      <alignment horizontal="left" vertical="center" wrapText="1"/>
    </xf>
    <xf numFmtId="0" fontId="10" fillId="0" borderId="21" xfId="0" applyFont="1" applyBorder="1" applyAlignment="1">
      <alignment horizontal="left" vertical="center" wrapText="1"/>
    </xf>
    <xf numFmtId="0" fontId="10" fillId="0" borderId="43" xfId="0" applyFont="1" applyBorder="1" applyAlignment="1">
      <alignment vertical="center" wrapText="1"/>
    </xf>
    <xf numFmtId="0" fontId="10" fillId="0" borderId="44" xfId="0" applyFont="1" applyBorder="1" applyAlignment="1">
      <alignment vertical="center" wrapText="1"/>
    </xf>
    <xf numFmtId="0" fontId="10" fillId="0" borderId="45" xfId="0" applyFont="1" applyBorder="1" applyAlignment="1">
      <alignment vertical="center" wrapText="1"/>
    </xf>
    <xf numFmtId="0" fontId="10" fillId="0" borderId="36" xfId="0" applyFont="1" applyBorder="1" applyAlignment="1">
      <alignment horizontal="center" vertical="center"/>
    </xf>
    <xf numFmtId="0" fontId="10" fillId="0" borderId="0" xfId="0" applyFont="1" applyBorder="1" applyAlignment="1">
      <alignment horizontal="center" vertical="center"/>
    </xf>
    <xf numFmtId="0" fontId="10" fillId="0" borderId="37" xfId="0" applyFont="1" applyBorder="1" applyAlignment="1">
      <alignment horizontal="center" vertical="center"/>
    </xf>
    <xf numFmtId="0" fontId="17" fillId="0" borderId="19" xfId="0" quotePrefix="1" applyFont="1" applyBorder="1" applyAlignment="1">
      <alignment horizontal="center" vertical="center" wrapText="1"/>
    </xf>
    <xf numFmtId="0" fontId="17" fillId="0" borderId="19" xfId="0" applyFont="1" applyBorder="1" applyAlignment="1">
      <alignment horizontal="center"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20" xfId="0" applyFont="1" applyBorder="1" applyAlignment="1">
      <alignment horizontal="left" vertical="center" wrapText="1"/>
    </xf>
    <xf numFmtId="0" fontId="17" fillId="0" borderId="22" xfId="0" applyFont="1" applyBorder="1" applyAlignment="1">
      <alignment horizontal="left" vertical="center" wrapText="1"/>
    </xf>
    <xf numFmtId="0" fontId="17" fillId="0" borderId="7" xfId="0" applyFont="1" applyBorder="1" applyAlignment="1">
      <alignment horizontal="left" vertical="center" wrapText="1"/>
    </xf>
    <xf numFmtId="0" fontId="17" fillId="0" borderId="23" xfId="0" applyFont="1" applyBorder="1" applyAlignment="1">
      <alignment horizontal="left" vertical="center" wrapText="1"/>
    </xf>
    <xf numFmtId="0" fontId="10" fillId="0" borderId="38"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9" fillId="0" borderId="8" xfId="2" applyFont="1" applyBorder="1" applyAlignment="1" applyProtection="1">
      <alignment horizontal="center" vertical="center" wrapText="1"/>
    </xf>
    <xf numFmtId="0" fontId="19" fillId="0" borderId="5" xfId="2" applyFont="1" applyBorder="1" applyAlignment="1" applyProtection="1">
      <alignment horizontal="center" vertical="center" wrapText="1"/>
    </xf>
    <xf numFmtId="0" fontId="19" fillId="0" borderId="39" xfId="2" applyFont="1" applyBorder="1" applyAlignment="1" applyProtection="1">
      <alignment horizontal="center" vertical="center" wrapText="1"/>
    </xf>
    <xf numFmtId="0" fontId="17" fillId="8" borderId="17"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10" fillId="0" borderId="1" xfId="0" applyFont="1" applyBorder="1" applyAlignment="1">
      <alignment vertical="center" wrapText="1"/>
    </xf>
    <xf numFmtId="0" fontId="10" fillId="0" borderId="15" xfId="0" applyFont="1" applyBorder="1" applyAlignment="1">
      <alignment vertical="center" wrapText="1"/>
    </xf>
    <xf numFmtId="0" fontId="10" fillId="0" borderId="19" xfId="0" applyFont="1" applyBorder="1" applyAlignment="1">
      <alignment horizontal="left" vertical="center" wrapText="1"/>
    </xf>
    <xf numFmtId="0" fontId="17" fillId="8" borderId="19" xfId="0" applyFont="1" applyFill="1" applyBorder="1" applyAlignment="1">
      <alignment horizontal="left" vertical="center" wrapText="1"/>
    </xf>
    <xf numFmtId="0" fontId="17" fillId="8" borderId="1" xfId="0" applyFont="1" applyFill="1" applyBorder="1" applyAlignment="1">
      <alignment horizontal="left" vertical="center" wrapText="1"/>
    </xf>
    <xf numFmtId="0" fontId="17" fillId="8" borderId="15" xfId="0" applyFont="1" applyFill="1" applyBorder="1" applyAlignment="1">
      <alignment horizontal="left" vertical="center" wrapText="1"/>
    </xf>
    <xf numFmtId="0" fontId="17" fillId="0" borderId="19" xfId="0" applyFont="1" applyBorder="1" applyAlignment="1">
      <alignment horizontal="left" vertical="center" wrapText="1"/>
    </xf>
    <xf numFmtId="0" fontId="17" fillId="0" borderId="1" xfId="0" applyFont="1" applyBorder="1" applyAlignment="1">
      <alignment horizontal="left" vertical="center" wrapText="1"/>
    </xf>
    <xf numFmtId="0" fontId="17" fillId="0" borderId="15" xfId="0" applyFont="1" applyBorder="1" applyAlignment="1">
      <alignment horizontal="left" vertical="center" wrapText="1"/>
    </xf>
    <xf numFmtId="0" fontId="17" fillId="8" borderId="17" xfId="0" applyFont="1" applyFill="1" applyBorder="1" applyAlignment="1">
      <alignment horizontal="left" vertical="center" wrapText="1"/>
    </xf>
    <xf numFmtId="0" fontId="17" fillId="8" borderId="3" xfId="0" applyFont="1" applyFill="1" applyBorder="1" applyAlignment="1">
      <alignment horizontal="left" vertical="center" wrapText="1"/>
    </xf>
    <xf numFmtId="0" fontId="17" fillId="8" borderId="18" xfId="0" applyFont="1" applyFill="1" applyBorder="1" applyAlignment="1">
      <alignment horizontal="left" vertical="center" wrapText="1"/>
    </xf>
    <xf numFmtId="0" fontId="10" fillId="0" borderId="19" xfId="0" applyFont="1" applyBorder="1" applyAlignment="1">
      <alignment horizontal="left" vertical="center"/>
    </xf>
    <xf numFmtId="0" fontId="10" fillId="0" borderId="1" xfId="0" applyFont="1" applyBorder="1" applyAlignment="1">
      <alignment horizontal="left" vertical="center"/>
    </xf>
    <xf numFmtId="0" fontId="10" fillId="0" borderId="15" xfId="0" applyFont="1" applyBorder="1" applyAlignment="1">
      <alignment horizontal="left" vertical="center"/>
    </xf>
    <xf numFmtId="0" fontId="16" fillId="0" borderId="1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5" xfId="0" applyFont="1" applyBorder="1" applyAlignment="1">
      <alignment horizontal="center" vertical="center" wrapText="1"/>
    </xf>
    <xf numFmtId="0" fontId="17" fillId="4" borderId="15" xfId="0" applyFont="1" applyFill="1" applyBorder="1" applyAlignment="1">
      <alignment horizontal="center" vertical="center" wrapText="1"/>
    </xf>
    <xf numFmtId="4" fontId="17" fillId="4" borderId="1" xfId="0" applyNumberFormat="1"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4" fontId="17" fillId="4" borderId="25" xfId="0" applyNumberFormat="1" applyFont="1" applyFill="1" applyBorder="1" applyAlignment="1">
      <alignment horizontal="center" vertical="center" wrapText="1"/>
    </xf>
    <xf numFmtId="0" fontId="17" fillId="4" borderId="26"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0" fillId="0" borderId="1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8" xfId="0" applyFont="1" applyBorder="1" applyAlignment="1">
      <alignment horizontal="center" vertical="center" wrapText="1"/>
    </xf>
    <xf numFmtId="0" fontId="17" fillId="4" borderId="17"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17" fillId="4" borderId="18" xfId="0" applyFont="1" applyFill="1" applyBorder="1" applyAlignment="1">
      <alignment horizontal="left" vertical="center" wrapText="1"/>
    </xf>
    <xf numFmtId="0" fontId="10" fillId="0" borderId="15" xfId="0" applyFont="1" applyBorder="1" applyAlignment="1">
      <alignment horizontal="center" vertical="center" wrapText="1"/>
    </xf>
    <xf numFmtId="0" fontId="20" fillId="5" borderId="19" xfId="0" applyFont="1" applyFill="1" applyBorder="1" applyAlignment="1">
      <alignment horizontal="left" vertical="center"/>
    </xf>
    <xf numFmtId="0" fontId="20" fillId="5" borderId="1" xfId="0" applyFont="1" applyFill="1" applyBorder="1" applyAlignment="1">
      <alignment horizontal="left" vertical="center"/>
    </xf>
    <xf numFmtId="0" fontId="20" fillId="5" borderId="15" xfId="0" applyFont="1" applyFill="1" applyBorder="1" applyAlignment="1">
      <alignment horizontal="left"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20" fillId="5" borderId="17"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0" fillId="7" borderId="9" xfId="0" applyFont="1" applyFill="1" applyBorder="1" applyAlignment="1">
      <alignment horizontal="left" vertical="center" wrapText="1"/>
    </xf>
    <xf numFmtId="0" fontId="10" fillId="7" borderId="10" xfId="0" applyFont="1" applyFill="1" applyBorder="1" applyAlignment="1">
      <alignment horizontal="left" vertical="center" wrapText="1"/>
    </xf>
    <xf numFmtId="0" fontId="10" fillId="7" borderId="46" xfId="0" applyFont="1" applyFill="1" applyBorder="1" applyAlignment="1">
      <alignment horizontal="lef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18" xfId="0" applyFont="1" applyBorder="1" applyAlignment="1">
      <alignment vertical="center" wrapText="1"/>
    </xf>
    <xf numFmtId="0" fontId="20" fillId="4" borderId="19"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7" fillId="2" borderId="51"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12" xfId="0" applyFont="1" applyFill="1" applyBorder="1" applyAlignment="1">
      <alignment horizontal="left" vertical="center" wrapText="1"/>
    </xf>
    <xf numFmtId="0" fontId="17" fillId="2" borderId="21" xfId="0" applyFont="1" applyFill="1" applyBorder="1" applyAlignment="1">
      <alignment horizontal="left" vertical="center" wrapText="1"/>
    </xf>
    <xf numFmtId="0" fontId="17" fillId="2" borderId="53" xfId="0" applyFont="1" applyFill="1" applyBorder="1" applyAlignment="1">
      <alignment horizontal="left" vertical="center" wrapText="1"/>
    </xf>
    <xf numFmtId="0" fontId="17" fillId="2" borderId="14" xfId="0" applyFont="1" applyFill="1" applyBorder="1" applyAlignment="1">
      <alignment horizontal="left" vertical="center" wrapText="1"/>
    </xf>
    <xf numFmtId="0" fontId="17" fillId="2" borderId="54" xfId="0" applyFont="1" applyFill="1" applyBorder="1" applyAlignment="1">
      <alignment horizontal="left" vertical="center" wrapText="1"/>
    </xf>
    <xf numFmtId="0" fontId="20" fillId="5" borderId="17" xfId="0" applyFont="1" applyFill="1" applyBorder="1" applyAlignment="1">
      <alignment horizontal="left" vertical="center"/>
    </xf>
    <xf numFmtId="0" fontId="20" fillId="5" borderId="3" xfId="0" applyFont="1" applyFill="1" applyBorder="1" applyAlignment="1">
      <alignment horizontal="left" vertical="center"/>
    </xf>
    <xf numFmtId="0" fontId="20" fillId="5" borderId="18" xfId="0" applyFont="1" applyFill="1" applyBorder="1" applyAlignment="1">
      <alignment horizontal="left" vertical="center"/>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46"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13" xfId="0" applyFont="1" applyBorder="1" applyAlignment="1">
      <alignment horizontal="left" vertical="center" wrapText="1"/>
    </xf>
    <xf numFmtId="0" fontId="10" fillId="0" borderId="30" xfId="0" applyFont="1" applyBorder="1" applyAlignment="1">
      <alignment horizontal="left" vertical="center" wrapText="1"/>
    </xf>
    <xf numFmtId="0" fontId="17" fillId="0" borderId="20" xfId="0" applyFont="1" applyBorder="1" applyAlignment="1">
      <alignment horizontal="center" vertical="center" wrapText="1"/>
    </xf>
    <xf numFmtId="0" fontId="17" fillId="0" borderId="22" xfId="0" applyFont="1" applyBorder="1" applyAlignment="1">
      <alignment horizontal="center" vertical="center" wrapText="1"/>
    </xf>
    <xf numFmtId="0" fontId="17" fillId="8" borderId="17" xfId="0" applyFont="1" applyFill="1" applyBorder="1" applyAlignment="1">
      <alignment vertical="center" wrapText="1"/>
    </xf>
    <xf numFmtId="0" fontId="17" fillId="8" borderId="3" xfId="0" applyFont="1" applyFill="1" applyBorder="1" applyAlignment="1">
      <alignment vertical="center" wrapText="1"/>
    </xf>
    <xf numFmtId="0" fontId="17" fillId="8" borderId="18"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7" fillId="9" borderId="19" xfId="0" applyFont="1" applyFill="1" applyBorder="1" applyAlignment="1">
      <alignment horizontal="left" vertical="center" wrapText="1"/>
    </xf>
    <xf numFmtId="0" fontId="17" fillId="9" borderId="1" xfId="0" applyFont="1" applyFill="1" applyBorder="1" applyAlignment="1">
      <alignment horizontal="left" vertical="center" wrapText="1"/>
    </xf>
    <xf numFmtId="0" fontId="17" fillId="9" borderId="15" xfId="0" applyFont="1" applyFill="1" applyBorder="1" applyAlignment="1">
      <alignment horizontal="left" vertical="center" wrapText="1"/>
    </xf>
    <xf numFmtId="0" fontId="17" fillId="0" borderId="19" xfId="0" applyFont="1" applyBorder="1" applyAlignment="1">
      <alignment vertical="center" wrapText="1"/>
    </xf>
    <xf numFmtId="0" fontId="17" fillId="0" borderId="1" xfId="0" applyFont="1" applyBorder="1" applyAlignment="1">
      <alignment vertical="center" wrapText="1"/>
    </xf>
    <xf numFmtId="0" fontId="17" fillId="0" borderId="2" xfId="0" applyFont="1" applyBorder="1" applyAlignment="1">
      <alignment vertical="center" wrapText="1"/>
    </xf>
    <xf numFmtId="0" fontId="17" fillId="0" borderId="12" xfId="0" applyFont="1" applyBorder="1" applyAlignment="1">
      <alignment horizontal="left" vertical="center" wrapText="1"/>
    </xf>
    <xf numFmtId="0" fontId="17" fillId="0" borderId="21" xfId="0" applyFont="1" applyBorder="1" applyAlignment="1">
      <alignment horizontal="left" vertical="center" wrapText="1"/>
    </xf>
    <xf numFmtId="0" fontId="16" fillId="7" borderId="27" xfId="0" applyFont="1" applyFill="1" applyBorder="1" applyAlignment="1">
      <alignment horizontal="left" vertical="center" wrapText="1"/>
    </xf>
    <xf numFmtId="0" fontId="16" fillId="7" borderId="28" xfId="0" applyFont="1" applyFill="1" applyBorder="1" applyAlignment="1">
      <alignment horizontal="left" vertical="center" wrapText="1"/>
    </xf>
    <xf numFmtId="0" fontId="16" fillId="7" borderId="40" xfId="0" applyFont="1" applyFill="1" applyBorder="1" applyAlignment="1">
      <alignment horizontal="left" vertical="center" wrapText="1"/>
    </xf>
    <xf numFmtId="0" fontId="10" fillId="0" borderId="7" xfId="0" applyFont="1" applyBorder="1" applyAlignment="1">
      <alignment horizontal="left" vertical="center" wrapText="1"/>
    </xf>
    <xf numFmtId="0" fontId="10" fillId="0" borderId="23" xfId="0" applyFont="1" applyBorder="1" applyAlignment="1">
      <alignment horizontal="left" vertical="center" wrapText="1"/>
    </xf>
    <xf numFmtId="0" fontId="10" fillId="0" borderId="7" xfId="0" applyFont="1" applyBorder="1" applyAlignment="1">
      <alignment horizontal="center" vertical="center" wrapText="1"/>
    </xf>
    <xf numFmtId="0" fontId="16" fillId="0" borderId="1" xfId="0" applyFont="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xf>
    <xf numFmtId="0" fontId="16" fillId="0" borderId="25" xfId="0" applyFont="1" applyBorder="1" applyAlignment="1">
      <alignment horizontal="left" vertical="center" wrapText="1"/>
    </xf>
    <xf numFmtId="0" fontId="16" fillId="0" borderId="42" xfId="0" applyFont="1" applyBorder="1" applyAlignment="1">
      <alignment horizontal="left" vertical="center" wrapText="1"/>
    </xf>
    <xf numFmtId="0" fontId="16" fillId="0" borderId="8"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27" xfId="0" applyFont="1" applyFill="1" applyBorder="1" applyAlignment="1">
      <alignment horizontal="left" vertical="center" wrapText="1"/>
    </xf>
    <xf numFmtId="0" fontId="16" fillId="0" borderId="28" xfId="0" applyFont="1" applyFill="1" applyBorder="1" applyAlignment="1">
      <alignment horizontal="left" vertical="center" wrapText="1"/>
    </xf>
    <xf numFmtId="0" fontId="16" fillId="0" borderId="31" xfId="0" applyFont="1" applyFill="1" applyBorder="1" applyAlignment="1">
      <alignment horizontal="left" vertical="center" wrapText="1"/>
    </xf>
    <xf numFmtId="0" fontId="16" fillId="0" borderId="43" xfId="0" applyFont="1" applyFill="1" applyBorder="1" applyAlignment="1">
      <alignment horizontal="left" vertical="center"/>
    </xf>
    <xf numFmtId="0" fontId="16" fillId="0" borderId="44" xfId="0" applyFont="1" applyFill="1" applyBorder="1" applyAlignment="1">
      <alignment horizontal="left" vertical="center"/>
    </xf>
    <xf numFmtId="0" fontId="16" fillId="0" borderId="52" xfId="0" applyFont="1" applyFill="1" applyBorder="1" applyAlignment="1">
      <alignment horizontal="left" vertical="center"/>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16" fillId="0" borderId="4" xfId="0" applyFont="1" applyFill="1" applyBorder="1" applyAlignment="1">
      <alignment horizontal="left" vertical="center"/>
    </xf>
    <xf numFmtId="0" fontId="17" fillId="5" borderId="17"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0" fillId="0" borderId="19" xfId="0" applyFont="1" applyBorder="1" applyAlignment="1">
      <alignment horizontal="center" vertical="center" wrapText="1"/>
    </xf>
    <xf numFmtId="0" fontId="16" fillId="0" borderId="8"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20" fillId="0" borderId="12" xfId="0" applyFont="1" applyBorder="1" applyAlignment="1">
      <alignment horizontal="center" vertical="center" wrapText="1"/>
    </xf>
    <xf numFmtId="0" fontId="20" fillId="0" borderId="7"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4" fillId="5" borderId="19"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7" fillId="4" borderId="41" xfId="0" applyFont="1" applyFill="1" applyBorder="1" applyAlignment="1">
      <alignment horizontal="left" vertical="center" wrapText="1"/>
    </xf>
    <xf numFmtId="0" fontId="17" fillId="4" borderId="42" xfId="0" applyFont="1" applyFill="1" applyBorder="1" applyAlignment="1">
      <alignment horizontal="left" vertical="center" wrapText="1"/>
    </xf>
    <xf numFmtId="0" fontId="17" fillId="4" borderId="16" xfId="0" applyFont="1" applyFill="1" applyBorder="1" applyAlignment="1">
      <alignment horizontal="left" vertical="center" wrapText="1"/>
    </xf>
    <xf numFmtId="0" fontId="17" fillId="0" borderId="15" xfId="0" applyFont="1" applyBorder="1" applyAlignment="1">
      <alignment horizontal="center" vertical="center" wrapText="1"/>
    </xf>
    <xf numFmtId="0" fontId="17" fillId="5" borderId="19"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6" fillId="0" borderId="19" xfId="0" applyFont="1" applyBorder="1" applyAlignment="1">
      <alignment horizontal="center" vertical="center" wrapText="1"/>
    </xf>
    <xf numFmtId="0" fontId="6" fillId="0" borderId="1" xfId="0" applyFont="1" applyBorder="1" applyAlignment="1">
      <alignment horizontal="center" vertical="center" wrapText="1"/>
    </xf>
    <xf numFmtId="0" fontId="6" fillId="5" borderId="2" xfId="0" applyFont="1" applyFill="1" applyBorder="1" applyAlignment="1">
      <alignment horizontal="center" vertical="top" wrapText="1"/>
    </xf>
    <xf numFmtId="0" fontId="6" fillId="5" borderId="3" xfId="0" applyFont="1" applyFill="1" applyBorder="1" applyAlignment="1">
      <alignment horizontal="center" vertical="top" wrapText="1"/>
    </xf>
    <xf numFmtId="0" fontId="6" fillId="5" borderId="4" xfId="0" applyFont="1" applyFill="1" applyBorder="1" applyAlignment="1">
      <alignment horizontal="center" vertical="top" wrapText="1"/>
    </xf>
    <xf numFmtId="0" fontId="4" fillId="5" borderId="1" xfId="0" applyFont="1" applyFill="1" applyBorder="1" applyAlignment="1">
      <alignment horizontal="center"/>
    </xf>
    <xf numFmtId="0" fontId="3" fillId="0" borderId="1" xfId="0"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12" xfId="0" applyFont="1" applyBorder="1" applyAlignment="1">
      <alignment horizontal="center" vertical="top" wrapText="1"/>
    </xf>
    <xf numFmtId="0" fontId="3" fillId="0" borderId="1" xfId="0" applyFont="1" applyBorder="1" applyAlignment="1">
      <alignment horizontal="left" vertical="center"/>
    </xf>
    <xf numFmtId="0" fontId="3" fillId="0" borderId="1" xfId="0" applyFont="1" applyBorder="1" applyAlignment="1">
      <alignment horizontal="left" wrapText="1"/>
    </xf>
    <xf numFmtId="0" fontId="3" fillId="0" borderId="1" xfId="0" applyFont="1" applyBorder="1" applyAlignment="1">
      <alignment horizontal="left" vertical="center" wrapText="1"/>
    </xf>
    <xf numFmtId="0" fontId="4" fillId="5" borderId="2" xfId="0" applyFont="1" applyFill="1" applyBorder="1" applyAlignment="1">
      <alignment horizontal="center"/>
    </xf>
    <xf numFmtId="0" fontId="4" fillId="5" borderId="3" xfId="0" applyFont="1" applyFill="1" applyBorder="1" applyAlignment="1">
      <alignment horizontal="center"/>
    </xf>
    <xf numFmtId="0" fontId="4" fillId="5" borderId="4" xfId="0" applyFont="1" applyFill="1" applyBorder="1" applyAlignment="1">
      <alignment horizontal="center"/>
    </xf>
    <xf numFmtId="0" fontId="3" fillId="0" borderId="7" xfId="0" applyFont="1" applyBorder="1" applyAlignment="1">
      <alignment horizontal="left" vertical="center" wrapText="1"/>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6" fillId="5" borderId="8" xfId="0" applyFont="1" applyFill="1" applyBorder="1" applyAlignment="1">
      <alignment horizontal="center" vertical="top" wrapText="1"/>
    </xf>
    <xf numFmtId="0" fontId="6" fillId="5" borderId="5" xfId="0" applyFont="1" applyFill="1" applyBorder="1" applyAlignment="1">
      <alignment horizontal="center" vertical="top" wrapText="1"/>
    </xf>
    <xf numFmtId="0" fontId="6" fillId="5" borderId="6" xfId="0" applyFont="1" applyFill="1" applyBorder="1" applyAlignment="1">
      <alignment horizontal="center" vertical="top"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4" fillId="5" borderId="8"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3" fillId="0" borderId="25" xfId="0" applyFont="1" applyBorder="1" applyAlignment="1">
      <alignment horizontal="left" vertical="center"/>
    </xf>
    <xf numFmtId="0" fontId="3" fillId="0" borderId="7" xfId="0" applyFont="1" applyBorder="1" applyAlignment="1">
      <alignment horizontal="left" vertical="center"/>
    </xf>
    <xf numFmtId="0" fontId="4" fillId="5" borderId="1" xfId="0" applyFont="1" applyFill="1" applyBorder="1" applyAlignment="1">
      <alignment horizontal="center" vertical="center"/>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31" xfId="0" applyFont="1" applyBorder="1" applyAlignment="1">
      <alignment horizontal="left" vertical="center" wrapText="1"/>
    </xf>
    <xf numFmtId="0" fontId="3" fillId="0" borderId="8"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6" fillId="4" borderId="19" xfId="0" applyFont="1" applyFill="1" applyBorder="1" applyAlignment="1">
      <alignment horizontal="center" vertical="top" wrapText="1"/>
    </xf>
    <xf numFmtId="0" fontId="6" fillId="4" borderId="1" xfId="0" applyFont="1" applyFill="1" applyBorder="1" applyAlignment="1">
      <alignment horizontal="center" vertical="top" wrapText="1"/>
    </xf>
    <xf numFmtId="0" fontId="10" fillId="0" borderId="2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6" xfId="0" applyFont="1" applyBorder="1" applyAlignment="1">
      <alignment horizontal="center" vertical="center" wrapText="1"/>
    </xf>
    <xf numFmtId="0" fontId="16" fillId="6" borderId="2" xfId="0" applyFont="1" applyFill="1" applyBorder="1" applyAlignment="1">
      <alignment horizontal="left" vertical="center"/>
    </xf>
    <xf numFmtId="0" fontId="16" fillId="6" borderId="3" xfId="0" applyFont="1" applyFill="1" applyBorder="1" applyAlignment="1">
      <alignment horizontal="left" vertical="center"/>
    </xf>
    <xf numFmtId="0" fontId="16" fillId="6" borderId="4" xfId="0" applyFont="1" applyFill="1" applyBorder="1" applyAlignment="1">
      <alignment horizontal="left" vertical="center"/>
    </xf>
    <xf numFmtId="0" fontId="17" fillId="5" borderId="15" xfId="0" applyFont="1" applyFill="1" applyBorder="1" applyAlignment="1">
      <alignment horizontal="center" vertical="center" wrapText="1"/>
    </xf>
    <xf numFmtId="4" fontId="17" fillId="5" borderId="1" xfId="0" applyNumberFormat="1" applyFont="1" applyFill="1" applyBorder="1" applyAlignment="1">
      <alignment horizontal="center" vertical="center" wrapText="1"/>
    </xf>
    <xf numFmtId="0" fontId="17" fillId="0" borderId="29" xfId="0" applyFont="1" applyBorder="1" applyAlignment="1">
      <alignment horizontal="center" vertical="center" wrapText="1"/>
    </xf>
    <xf numFmtId="0" fontId="17" fillId="5" borderId="41" xfId="0" applyFont="1" applyFill="1" applyBorder="1" applyAlignment="1">
      <alignment horizontal="center" vertical="center" wrapText="1"/>
    </xf>
    <xf numFmtId="0" fontId="17" fillId="5" borderId="42" xfId="0" applyFont="1" applyFill="1" applyBorder="1" applyAlignment="1">
      <alignment horizontal="center" vertical="center" wrapText="1"/>
    </xf>
    <xf numFmtId="0" fontId="17" fillId="5" borderId="16" xfId="0" applyFont="1" applyFill="1" applyBorder="1" applyAlignment="1">
      <alignment horizontal="center" vertical="center" wrapText="1"/>
    </xf>
    <xf numFmtId="4" fontId="17" fillId="5" borderId="2" xfId="0" applyNumberFormat="1" applyFont="1" applyFill="1" applyBorder="1" applyAlignment="1">
      <alignment horizontal="center" vertical="center" wrapText="1"/>
    </xf>
    <xf numFmtId="4" fontId="17" fillId="5" borderId="3" xfId="0" applyNumberFormat="1" applyFont="1" applyFill="1" applyBorder="1" applyAlignment="1">
      <alignment horizontal="center" vertical="center" wrapText="1"/>
    </xf>
    <xf numFmtId="4" fontId="17" fillId="5" borderId="4" xfId="0" applyNumberFormat="1" applyFont="1" applyFill="1" applyBorder="1" applyAlignment="1">
      <alignment horizontal="center" vertical="center" wrapText="1"/>
    </xf>
    <xf numFmtId="0" fontId="17" fillId="5" borderId="17" xfId="0" applyFont="1" applyFill="1" applyBorder="1" applyAlignment="1">
      <alignment horizontal="left" vertical="center" wrapText="1"/>
    </xf>
    <xf numFmtId="0" fontId="17" fillId="5" borderId="3" xfId="0" applyFont="1" applyFill="1" applyBorder="1" applyAlignment="1">
      <alignment horizontal="left" vertical="center" wrapText="1"/>
    </xf>
    <xf numFmtId="0" fontId="4" fillId="5" borderId="17"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17" fillId="2" borderId="9"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17" fillId="5" borderId="41" xfId="0" applyFont="1" applyFill="1" applyBorder="1" applyAlignment="1">
      <alignment horizontal="left" vertical="center" wrapText="1"/>
    </xf>
    <xf numFmtId="0" fontId="17" fillId="5" borderId="42" xfId="0" applyFont="1" applyFill="1" applyBorder="1" applyAlignment="1">
      <alignment horizontal="left" vertical="center" wrapText="1"/>
    </xf>
    <xf numFmtId="0" fontId="17" fillId="5" borderId="43" xfId="0" applyFont="1" applyFill="1" applyBorder="1" applyAlignment="1">
      <alignment horizontal="left"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172" fontId="10" fillId="5" borderId="1" xfId="0" applyNumberFormat="1" applyFont="1" applyFill="1" applyBorder="1" applyAlignment="1">
      <alignment horizontal="right" vertical="center" wrapText="1"/>
    </xf>
    <xf numFmtId="0" fontId="16" fillId="0" borderId="8" xfId="0" applyFont="1" applyFill="1" applyBorder="1" applyAlignment="1">
      <alignment horizontal="left" vertical="center" wrapText="1"/>
    </xf>
    <xf numFmtId="0" fontId="16" fillId="0" borderId="5" xfId="0" applyFont="1" applyFill="1" applyBorder="1" applyAlignment="1">
      <alignment horizontal="left" vertical="center"/>
    </xf>
    <xf numFmtId="0" fontId="16" fillId="0" borderId="6" xfId="0" applyFont="1" applyFill="1" applyBorder="1" applyAlignment="1">
      <alignment horizontal="left" vertical="center"/>
    </xf>
    <xf numFmtId="0" fontId="16" fillId="10" borderId="8" xfId="0" applyFont="1" applyFill="1" applyBorder="1" applyAlignment="1">
      <alignment horizontal="left" vertical="center" wrapText="1"/>
    </xf>
    <xf numFmtId="0" fontId="16" fillId="10" borderId="5" xfId="0" applyFont="1" applyFill="1" applyBorder="1" applyAlignment="1">
      <alignment horizontal="left" vertical="center"/>
    </xf>
    <xf numFmtId="0" fontId="16" fillId="10" borderId="6" xfId="0" applyFont="1" applyFill="1" applyBorder="1" applyAlignment="1">
      <alignment horizontal="left" vertical="center"/>
    </xf>
    <xf numFmtId="0" fontId="16" fillId="10" borderId="2" xfId="0" applyFont="1" applyFill="1" applyBorder="1" applyAlignment="1">
      <alignment horizontal="left" vertical="center"/>
    </xf>
    <xf numFmtId="0" fontId="16" fillId="10" borderId="3" xfId="0" applyFont="1" applyFill="1" applyBorder="1" applyAlignment="1">
      <alignment horizontal="left" vertical="center"/>
    </xf>
    <xf numFmtId="0" fontId="16" fillId="10" borderId="4" xfId="0" applyFont="1" applyFill="1" applyBorder="1" applyAlignment="1">
      <alignment horizontal="left" vertical="center"/>
    </xf>
    <xf numFmtId="8" fontId="16" fillId="10" borderId="12" xfId="0" applyNumberFormat="1" applyFont="1" applyFill="1" applyBorder="1" applyAlignment="1">
      <alignment horizontal="left" vertical="center"/>
    </xf>
    <xf numFmtId="8" fontId="16" fillId="10" borderId="13" xfId="0" applyNumberFormat="1" applyFont="1" applyFill="1" applyBorder="1" applyAlignment="1">
      <alignment horizontal="left" vertical="center"/>
    </xf>
    <xf numFmtId="8" fontId="16" fillId="10" borderId="7" xfId="0" applyNumberFormat="1" applyFont="1" applyFill="1" applyBorder="1" applyAlignment="1">
      <alignment horizontal="left" vertical="center"/>
    </xf>
    <xf numFmtId="0" fontId="16" fillId="10" borderId="2" xfId="0" applyFont="1" applyFill="1" applyBorder="1" applyAlignment="1">
      <alignment horizontal="left" vertical="center" wrapText="1"/>
    </xf>
    <xf numFmtId="0" fontId="16" fillId="10" borderId="3" xfId="0" applyFont="1" applyFill="1" applyBorder="1" applyAlignment="1">
      <alignment horizontal="left" vertical="center" wrapText="1"/>
    </xf>
    <xf numFmtId="0" fontId="16" fillId="10" borderId="4" xfId="0" applyFont="1" applyFill="1" applyBorder="1" applyAlignment="1">
      <alignment horizontal="left" vertical="center" wrapText="1"/>
    </xf>
    <xf numFmtId="0" fontId="16" fillId="10" borderId="27" xfId="0" applyFont="1" applyFill="1" applyBorder="1" applyAlignment="1">
      <alignment horizontal="left" vertical="center" wrapText="1"/>
    </xf>
    <xf numFmtId="0" fontId="16" fillId="10" borderId="28" xfId="0" applyFont="1" applyFill="1" applyBorder="1" applyAlignment="1">
      <alignment horizontal="left" vertical="center" wrapText="1"/>
    </xf>
    <xf numFmtId="0" fontId="16" fillId="10" borderId="3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left" vertical="center"/>
    </xf>
    <xf numFmtId="0" fontId="16" fillId="7" borderId="1" xfId="0" applyFont="1" applyFill="1" applyBorder="1" applyAlignment="1">
      <alignment horizontal="left" vertical="center"/>
    </xf>
    <xf numFmtId="0" fontId="16" fillId="10" borderId="1" xfId="0" applyFont="1" applyFill="1" applyBorder="1" applyAlignment="1">
      <alignment horizontal="left" vertical="center" wrapText="1"/>
    </xf>
    <xf numFmtId="0" fontId="16" fillId="10" borderId="1" xfId="0" applyFont="1" applyFill="1" applyBorder="1" applyAlignment="1">
      <alignment horizontal="left" vertical="center"/>
    </xf>
    <xf numFmtId="0" fontId="16" fillId="10" borderId="7" xfId="0" applyFont="1" applyFill="1" applyBorder="1" applyAlignment="1">
      <alignment horizontal="left" vertical="center"/>
    </xf>
    <xf numFmtId="0" fontId="16" fillId="10" borderId="12" xfId="0" applyFont="1" applyFill="1" applyBorder="1" applyAlignment="1">
      <alignment horizontal="left" vertical="center" wrapText="1"/>
    </xf>
    <xf numFmtId="0" fontId="16" fillId="10" borderId="7" xfId="0" applyFont="1" applyFill="1" applyBorder="1" applyAlignment="1">
      <alignment horizontal="left" vertical="center" wrapText="1"/>
    </xf>
    <xf numFmtId="0" fontId="21" fillId="10" borderId="9" xfId="0" applyFont="1" applyFill="1" applyBorder="1" applyAlignment="1">
      <alignment horizontal="left" vertical="center" wrapText="1"/>
    </xf>
    <xf numFmtId="0" fontId="21" fillId="10" borderId="10" xfId="0" applyFont="1" applyFill="1" applyBorder="1" applyAlignment="1">
      <alignment horizontal="left" vertical="center" wrapText="1"/>
    </xf>
    <xf numFmtId="0" fontId="21" fillId="10" borderId="11" xfId="0" applyFont="1" applyFill="1" applyBorder="1" applyAlignment="1">
      <alignment horizontal="left" vertical="center" wrapText="1"/>
    </xf>
    <xf numFmtId="0" fontId="16" fillId="7" borderId="8" xfId="0" applyFont="1" applyFill="1" applyBorder="1" applyAlignment="1">
      <alignment horizontal="left" vertical="center" wrapText="1"/>
    </xf>
    <xf numFmtId="0" fontId="16" fillId="7" borderId="5" xfId="0" applyFont="1" applyFill="1" applyBorder="1" applyAlignment="1">
      <alignment horizontal="left" vertical="center" wrapText="1"/>
    </xf>
    <xf numFmtId="0" fontId="16" fillId="7" borderId="6" xfId="0" applyFont="1" applyFill="1" applyBorder="1" applyAlignment="1">
      <alignment horizontal="left" vertical="center" wrapText="1"/>
    </xf>
    <xf numFmtId="0" fontId="16" fillId="10" borderId="56" xfId="0" applyFont="1" applyFill="1" applyBorder="1" applyAlignment="1">
      <alignment horizontal="left" vertical="center" wrapText="1"/>
    </xf>
    <xf numFmtId="0" fontId="16" fillId="10" borderId="0" xfId="0" applyFont="1" applyFill="1" applyBorder="1" applyAlignment="1">
      <alignment horizontal="left" vertical="center" wrapText="1"/>
    </xf>
    <xf numFmtId="0" fontId="16" fillId="10" borderId="57" xfId="0" applyFont="1" applyFill="1" applyBorder="1" applyAlignment="1">
      <alignment horizontal="left" vertical="center" wrapText="1"/>
    </xf>
    <xf numFmtId="0" fontId="17" fillId="0" borderId="8" xfId="0" applyFont="1" applyBorder="1" applyAlignment="1">
      <alignment horizontal="left" vertical="center" wrapText="1"/>
    </xf>
    <xf numFmtId="0" fontId="17" fillId="0" borderId="56" xfId="0" applyFont="1" applyBorder="1" applyAlignment="1">
      <alignment horizontal="left" vertical="center" wrapText="1"/>
    </xf>
    <xf numFmtId="0" fontId="10" fillId="0" borderId="8" xfId="0" applyFont="1" applyBorder="1" applyAlignment="1">
      <alignment horizontal="left" vertical="center" wrapText="1"/>
    </xf>
    <xf numFmtId="0" fontId="10" fillId="0" borderId="39" xfId="0" applyFont="1" applyBorder="1" applyAlignment="1">
      <alignment horizontal="left" vertical="center" wrapText="1"/>
    </xf>
    <xf numFmtId="0" fontId="17" fillId="5" borderId="22"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10" fillId="0" borderId="27" xfId="0" applyFont="1" applyBorder="1" applyAlignment="1">
      <alignment horizontal="center" vertical="center" wrapText="1"/>
    </xf>
    <xf numFmtId="0" fontId="10" fillId="0" borderId="31" xfId="0" applyFont="1" applyBorder="1" applyAlignment="1">
      <alignment horizontal="center" vertical="center" wrapText="1"/>
    </xf>
    <xf numFmtId="0" fontId="17" fillId="5" borderId="38" xfId="0" applyFont="1" applyFill="1" applyBorder="1" applyAlignment="1">
      <alignment horizontal="center" vertical="center" wrapText="1"/>
    </xf>
    <xf numFmtId="0" fontId="17" fillId="5" borderId="39"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7" fillId="5" borderId="47" xfId="0" applyFont="1" applyFill="1" applyBorder="1" applyAlignment="1">
      <alignment horizontal="center" vertical="center" wrapText="1"/>
    </xf>
    <xf numFmtId="0" fontId="17" fillId="5" borderId="44" xfId="0" applyFont="1" applyFill="1" applyBorder="1" applyAlignment="1">
      <alignment horizontal="center" vertical="center" wrapText="1"/>
    </xf>
    <xf numFmtId="0" fontId="17" fillId="5" borderId="45" xfId="0" applyFont="1" applyFill="1" applyBorder="1" applyAlignment="1">
      <alignment horizontal="center" vertical="center" wrapText="1"/>
    </xf>
    <xf numFmtId="0" fontId="10" fillId="0" borderId="8" xfId="0" applyFont="1" applyBorder="1" applyAlignment="1">
      <alignment vertical="center" wrapText="1"/>
    </xf>
    <xf numFmtId="0" fontId="10" fillId="0" borderId="5" xfId="0" applyFont="1" applyBorder="1" applyAlignment="1">
      <alignment vertical="center" wrapText="1"/>
    </xf>
    <xf numFmtId="0" fontId="10" fillId="0" borderId="39" xfId="0" applyFont="1" applyBorder="1" applyAlignment="1">
      <alignment vertical="center" wrapText="1"/>
    </xf>
    <xf numFmtId="0" fontId="17" fillId="5" borderId="19"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17" fillId="5" borderId="15" xfId="0" applyFont="1" applyFill="1" applyBorder="1" applyAlignment="1">
      <alignment horizontal="left" vertical="center" wrapText="1"/>
    </xf>
    <xf numFmtId="0" fontId="17" fillId="5" borderId="17" xfId="0" applyFont="1" applyFill="1" applyBorder="1" applyAlignment="1">
      <alignment vertical="center" wrapText="1"/>
    </xf>
    <xf numFmtId="0" fontId="17" fillId="5" borderId="3" xfId="0" applyFont="1" applyFill="1" applyBorder="1" applyAlignment="1">
      <alignment vertical="center" wrapText="1"/>
    </xf>
    <xf numFmtId="0" fontId="17" fillId="5" borderId="18" xfId="0" applyFont="1" applyFill="1" applyBorder="1" applyAlignment="1">
      <alignment vertical="center" wrapText="1"/>
    </xf>
    <xf numFmtId="0" fontId="17" fillId="5" borderId="18" xfId="0" applyFont="1" applyFill="1" applyBorder="1" applyAlignment="1">
      <alignment horizontal="left" vertical="center" wrapText="1"/>
    </xf>
    <xf numFmtId="0" fontId="16" fillId="11" borderId="2"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16" fillId="11" borderId="4" xfId="0" applyFont="1" applyFill="1" applyBorder="1" applyAlignment="1">
      <alignment horizontal="left" vertical="center" wrapText="1"/>
    </xf>
    <xf numFmtId="0" fontId="16" fillId="11" borderId="8" xfId="0" applyFont="1" applyFill="1" applyBorder="1" applyAlignment="1">
      <alignment horizontal="left" vertical="center" wrapText="1"/>
    </xf>
    <xf numFmtId="0" fontId="16" fillId="11" borderId="5" xfId="0" applyFont="1" applyFill="1" applyBorder="1" applyAlignment="1">
      <alignment horizontal="left" vertical="center"/>
    </xf>
    <xf numFmtId="0" fontId="16" fillId="11" borderId="6" xfId="0" applyFont="1" applyFill="1" applyBorder="1" applyAlignment="1">
      <alignment horizontal="left" vertical="center"/>
    </xf>
    <xf numFmtId="0" fontId="16" fillId="11" borderId="1" xfId="0" applyFont="1" applyFill="1" applyBorder="1" applyAlignment="1">
      <alignment horizontal="left" vertical="center" wrapText="1"/>
    </xf>
    <xf numFmtId="0" fontId="16" fillId="11" borderId="1" xfId="0" applyFont="1" applyFill="1" applyBorder="1" applyAlignment="1">
      <alignment horizontal="left" vertical="center"/>
    </xf>
    <xf numFmtId="0" fontId="16" fillId="6" borderId="1" xfId="0" applyFont="1" applyFill="1" applyBorder="1" applyAlignment="1">
      <alignment horizontal="left" vertical="center"/>
    </xf>
    <xf numFmtId="0" fontId="16" fillId="11" borderId="5" xfId="0" applyFont="1" applyFill="1" applyBorder="1" applyAlignment="1">
      <alignment horizontal="left" vertical="center" wrapText="1"/>
    </xf>
    <xf numFmtId="0" fontId="16" fillId="11" borderId="6" xfId="0" applyFont="1" applyFill="1" applyBorder="1" applyAlignment="1">
      <alignment horizontal="left" vertical="center" wrapText="1"/>
    </xf>
    <xf numFmtId="0" fontId="16" fillId="6" borderId="2"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16" fillId="6" borderId="4" xfId="0" applyFont="1" applyFill="1" applyBorder="1" applyAlignment="1">
      <alignment horizontal="left" vertical="center" wrapText="1"/>
    </xf>
    <xf numFmtId="0" fontId="16" fillId="11" borderId="12" xfId="0" applyFont="1" applyFill="1" applyBorder="1" applyAlignment="1">
      <alignment horizontal="left" vertical="center" wrapText="1"/>
    </xf>
    <xf numFmtId="0" fontId="16" fillId="6" borderId="1" xfId="0" applyFont="1" applyFill="1" applyBorder="1" applyAlignment="1">
      <alignment horizontal="left" vertical="center" wrapText="1"/>
    </xf>
    <xf numFmtId="0" fontId="9" fillId="0" borderId="77" xfId="0" applyFont="1" applyBorder="1" applyAlignment="1">
      <alignment horizontal="center" vertical="center" wrapText="1"/>
    </xf>
    <xf numFmtId="0" fontId="17" fillId="5" borderId="58" xfId="0" applyFont="1" applyFill="1" applyBorder="1" applyAlignment="1">
      <alignment horizontal="center" vertical="center" wrapText="1"/>
    </xf>
    <xf numFmtId="0" fontId="17" fillId="5" borderId="59" xfId="0" applyFont="1" applyFill="1" applyBorder="1" applyAlignment="1">
      <alignment horizontal="center" vertical="center" wrapText="1"/>
    </xf>
    <xf numFmtId="0" fontId="17" fillId="5" borderId="60" xfId="0" applyFont="1" applyFill="1" applyBorder="1" applyAlignment="1">
      <alignment horizontal="center" vertical="center" wrapText="1"/>
    </xf>
    <xf numFmtId="0" fontId="10" fillId="0" borderId="77" xfId="0" applyFont="1" applyBorder="1" applyAlignment="1">
      <alignment horizontal="center" vertical="center" wrapText="1"/>
    </xf>
    <xf numFmtId="0" fontId="32" fillId="0" borderId="2" xfId="0" applyFont="1" applyBorder="1" applyAlignment="1">
      <alignment horizontal="center" vertical="center" wrapText="1"/>
    </xf>
    <xf numFmtId="0" fontId="17" fillId="5" borderId="68" xfId="0" applyFont="1" applyFill="1" applyBorder="1" applyAlignment="1">
      <alignment horizontal="center" vertical="center" wrapText="1"/>
    </xf>
    <xf numFmtId="0" fontId="17" fillId="5" borderId="70" xfId="0" applyFont="1" applyFill="1" applyBorder="1" applyAlignment="1">
      <alignment horizontal="center" vertical="center" wrapText="1"/>
    </xf>
    <xf numFmtId="0" fontId="10" fillId="2" borderId="79" xfId="0" applyFont="1" applyFill="1" applyBorder="1" applyAlignment="1">
      <alignment horizontal="left" vertical="center" wrapText="1"/>
    </xf>
    <xf numFmtId="0" fontId="10" fillId="2" borderId="80" xfId="0" applyFont="1" applyFill="1" applyBorder="1" applyAlignment="1">
      <alignment horizontal="left" vertical="center" wrapText="1"/>
    </xf>
    <xf numFmtId="0" fontId="17" fillId="2" borderId="81" xfId="0" applyFont="1" applyFill="1" applyBorder="1" applyAlignment="1">
      <alignment horizontal="left" vertical="center" wrapText="1"/>
    </xf>
    <xf numFmtId="0" fontId="17" fillId="2" borderId="82" xfId="0" applyFont="1" applyFill="1" applyBorder="1" applyAlignment="1">
      <alignment horizontal="left" vertical="center" wrapText="1"/>
    </xf>
    <xf numFmtId="172" fontId="10" fillId="5" borderId="2" xfId="0" applyNumberFormat="1" applyFont="1" applyFill="1" applyBorder="1" applyAlignment="1">
      <alignment horizontal="right" vertical="center" wrapText="1"/>
    </xf>
    <xf numFmtId="8" fontId="16" fillId="0" borderId="11" xfId="0" applyNumberFormat="1" applyFont="1" applyFill="1" applyBorder="1" applyAlignment="1">
      <alignment horizontal="left" vertical="center"/>
    </xf>
    <xf numFmtId="8" fontId="16" fillId="0" borderId="57" xfId="0" applyNumberFormat="1" applyFont="1" applyFill="1" applyBorder="1" applyAlignment="1">
      <alignment horizontal="left" vertical="center"/>
    </xf>
    <xf numFmtId="8" fontId="16" fillId="0" borderId="6" xfId="0" applyNumberFormat="1" applyFont="1" applyFill="1" applyBorder="1" applyAlignment="1">
      <alignment horizontal="left" vertical="center"/>
    </xf>
    <xf numFmtId="0" fontId="16" fillId="0" borderId="9" xfId="0" applyFont="1" applyFill="1" applyBorder="1" applyAlignment="1">
      <alignment horizontal="left" vertical="center" wrapText="1"/>
    </xf>
    <xf numFmtId="0" fontId="16" fillId="0" borderId="10"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16" fillId="0" borderId="7" xfId="0" applyFont="1" applyFill="1" applyBorder="1" applyAlignment="1">
      <alignment horizontal="left" vertical="center"/>
    </xf>
    <xf numFmtId="0" fontId="16" fillId="0" borderId="12"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56"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57" xfId="0" applyFont="1" applyFill="1" applyBorder="1" applyAlignment="1">
      <alignment horizontal="left" vertical="center" wrapText="1"/>
    </xf>
    <xf numFmtId="0" fontId="17" fillId="0" borderId="64" xfId="0" applyFont="1" applyBorder="1" applyAlignment="1">
      <alignment horizontal="left" vertical="center" wrapText="1"/>
    </xf>
    <xf numFmtId="0" fontId="10" fillId="0" borderId="62" xfId="0" applyFont="1" applyBorder="1" applyAlignment="1">
      <alignment horizontal="left" vertical="center" wrapText="1"/>
    </xf>
    <xf numFmtId="0" fontId="17" fillId="0" borderId="66" xfId="0" applyFont="1" applyBorder="1" applyAlignment="1">
      <alignment horizontal="left" vertical="center" wrapText="1"/>
    </xf>
    <xf numFmtId="0" fontId="17" fillId="0" borderId="68" xfId="0" quotePrefix="1" applyFont="1" applyBorder="1" applyAlignment="1">
      <alignment horizontal="center" vertical="center" wrapText="1"/>
    </xf>
    <xf numFmtId="0" fontId="17" fillId="0" borderId="68" xfId="0" applyFont="1" applyBorder="1" applyAlignment="1">
      <alignment horizontal="center" vertical="center" wrapText="1"/>
    </xf>
    <xf numFmtId="0" fontId="17" fillId="5" borderId="58" xfId="0" applyFont="1" applyFill="1" applyBorder="1" applyAlignment="1">
      <alignment horizontal="left" vertical="center" wrapText="1"/>
    </xf>
    <xf numFmtId="0" fontId="17" fillId="5" borderId="59" xfId="0" applyFont="1" applyFill="1" applyBorder="1" applyAlignment="1">
      <alignment horizontal="left" vertical="center" wrapText="1"/>
    </xf>
    <xf numFmtId="0" fontId="17" fillId="5" borderId="60" xfId="0" applyFont="1" applyFill="1" applyBorder="1" applyAlignment="1">
      <alignment horizontal="left" vertical="center" wrapText="1"/>
    </xf>
    <xf numFmtId="0" fontId="17" fillId="0" borderId="27" xfId="0" applyFont="1" applyBorder="1" applyAlignment="1">
      <alignment horizontal="center" vertical="center" wrapText="1"/>
    </xf>
    <xf numFmtId="0" fontId="17" fillId="0" borderId="31" xfId="0" applyFont="1" applyBorder="1" applyAlignment="1">
      <alignment horizontal="center" vertical="center" wrapText="1"/>
    </xf>
    <xf numFmtId="0" fontId="17" fillId="5" borderId="52" xfId="0" applyFont="1" applyFill="1" applyBorder="1" applyAlignment="1">
      <alignment horizontal="center"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18" xfId="0" applyFont="1" applyBorder="1" applyAlignment="1">
      <alignment horizontal="left" vertical="center" wrapText="1"/>
    </xf>
    <xf numFmtId="0" fontId="10" fillId="0" borderId="4" xfId="0" applyFont="1" applyBorder="1" applyAlignment="1">
      <alignment vertical="center" wrapText="1"/>
    </xf>
    <xf numFmtId="0" fontId="19" fillId="0" borderId="1" xfId="2" applyFont="1" applyBorder="1" applyAlignment="1" applyProtection="1">
      <alignment horizontal="center" vertical="center" wrapText="1"/>
    </xf>
    <xf numFmtId="0" fontId="17" fillId="5" borderId="1" xfId="0" applyFont="1" applyFill="1" applyBorder="1" applyAlignment="1">
      <alignment vertical="center" wrapText="1"/>
    </xf>
    <xf numFmtId="0" fontId="10" fillId="0" borderId="77" xfId="0" applyFont="1" applyBorder="1" applyAlignment="1">
      <alignment horizontal="center" vertical="center"/>
    </xf>
    <xf numFmtId="0" fontId="10" fillId="0" borderId="74" xfId="0" applyFont="1" applyBorder="1" applyAlignment="1">
      <alignment horizontal="center" vertical="center"/>
    </xf>
    <xf numFmtId="0" fontId="10" fillId="0" borderId="74" xfId="0" applyFont="1" applyBorder="1" applyAlignment="1">
      <alignment horizontal="center" vertical="center" wrapText="1"/>
    </xf>
    <xf numFmtId="0" fontId="10" fillId="0" borderId="90" xfId="0" applyFont="1" applyBorder="1" applyAlignment="1">
      <alignment horizontal="center" vertical="center"/>
    </xf>
    <xf numFmtId="0" fontId="10" fillId="0" borderId="91" xfId="0" applyFont="1" applyBorder="1" applyAlignment="1">
      <alignment horizontal="center" vertical="center"/>
    </xf>
    <xf numFmtId="0" fontId="10" fillId="0" borderId="92" xfId="0" applyFont="1" applyBorder="1" applyAlignment="1">
      <alignment horizontal="center" vertical="center"/>
    </xf>
    <xf numFmtId="0" fontId="41" fillId="0" borderId="77" xfId="0" applyFont="1" applyBorder="1" applyAlignment="1">
      <alignment horizontal="center" vertical="center"/>
    </xf>
    <xf numFmtId="0" fontId="41" fillId="0" borderId="0" xfId="0" applyFont="1" applyBorder="1" applyAlignment="1">
      <alignment horizontal="center" vertical="center"/>
    </xf>
    <xf numFmtId="0" fontId="41" fillId="0" borderId="74" xfId="0" applyFont="1" applyBorder="1" applyAlignment="1">
      <alignment horizontal="center" vertical="center"/>
    </xf>
    <xf numFmtId="0" fontId="41" fillId="0" borderId="90" xfId="0" applyFont="1" applyBorder="1" applyAlignment="1">
      <alignment horizontal="center" vertical="center"/>
    </xf>
    <xf numFmtId="0" fontId="41" fillId="0" borderId="91" xfId="0" applyFont="1" applyBorder="1" applyAlignment="1">
      <alignment horizontal="center" vertical="center"/>
    </xf>
    <xf numFmtId="0" fontId="41" fillId="0" borderId="92" xfId="0" applyFont="1" applyBorder="1" applyAlignment="1">
      <alignment horizontal="center" vertical="center"/>
    </xf>
    <xf numFmtId="0" fontId="44" fillId="0" borderId="93" xfId="0" applyFont="1" applyBorder="1" applyAlignment="1">
      <alignment horizontal="left" vertical="center" wrapText="1"/>
    </xf>
    <xf numFmtId="0" fontId="44" fillId="0" borderId="100" xfId="0" applyFont="1" applyBorder="1" applyAlignment="1">
      <alignment horizontal="left" vertical="center" wrapText="1"/>
    </xf>
    <xf numFmtId="44" fontId="32" fillId="0" borderId="72" xfId="5" applyFont="1" applyBorder="1" applyAlignment="1">
      <alignment horizontal="center" vertical="center"/>
    </xf>
    <xf numFmtId="44" fontId="32" fillId="0" borderId="83" xfId="5" applyFont="1" applyBorder="1" applyAlignment="1">
      <alignment horizontal="center" vertical="center"/>
    </xf>
    <xf numFmtId="0" fontId="37" fillId="0" borderId="87" xfId="0" applyFont="1" applyBorder="1" applyAlignment="1">
      <alignment horizontal="center" vertical="center"/>
    </xf>
    <xf numFmtId="0" fontId="37" fillId="0" borderId="88" xfId="0" applyFont="1" applyBorder="1" applyAlignment="1">
      <alignment horizontal="center" vertical="center"/>
    </xf>
    <xf numFmtId="0" fontId="37" fillId="0" borderId="89" xfId="0" applyFont="1" applyBorder="1" applyAlignment="1">
      <alignment horizontal="center" vertical="center"/>
    </xf>
    <xf numFmtId="44" fontId="32" fillId="0" borderId="1" xfId="5" applyFont="1" applyBorder="1" applyAlignment="1">
      <alignment horizontal="center" vertical="center"/>
    </xf>
    <xf numFmtId="44" fontId="32" fillId="0" borderId="95" xfId="5" applyFont="1" applyBorder="1" applyAlignment="1">
      <alignment horizontal="center" vertical="center"/>
    </xf>
    <xf numFmtId="44" fontId="32" fillId="0" borderId="96" xfId="5" applyFont="1" applyBorder="1" applyAlignment="1">
      <alignment horizontal="center" vertical="center"/>
    </xf>
  </cellXfs>
  <cellStyles count="11">
    <cellStyle name="Hyperlink" xfId="2" builtinId="8"/>
    <cellStyle name="Moeda" xfId="1" builtinId="4"/>
    <cellStyle name="Moeda 2" xfId="5"/>
    <cellStyle name="Normal" xfId="0" builtinId="0"/>
    <cellStyle name="Normal 2" xfId="3"/>
    <cellStyle name="Normal 3" xfId="6"/>
    <cellStyle name="Normal 4" xfId="7"/>
    <cellStyle name="Porcentagem" xfId="4" builtinId="5"/>
    <cellStyle name="Porcentagem 2" xfId="8"/>
    <cellStyle name="Separador de milhares 2" xfId="9"/>
    <cellStyle name="Vírgula 2" xfId="10"/>
  </cellStyles>
  <dxfs count="19">
    <dxf>
      <font>
        <color theme="1"/>
      </font>
      <fill>
        <patternFill>
          <bgColor theme="0" tint="-4.9989318521683403E-2"/>
        </patternFill>
      </fill>
    </dxf>
    <dxf>
      <font>
        <color theme="1"/>
      </font>
      <fill>
        <patternFill>
          <bgColor theme="0" tint="-4.9989318521683403E-2"/>
        </patternFill>
      </fill>
    </dxf>
    <dxf>
      <font>
        <color theme="1"/>
      </font>
      <fill>
        <patternFill>
          <bgColor theme="0" tint="-4.9989318521683403E-2"/>
        </patternFill>
      </fill>
    </dxf>
    <dxf>
      <fill>
        <patternFill>
          <bgColor theme="3" tint="0.39994506668294322"/>
        </patternFill>
      </fill>
    </dxf>
    <dxf>
      <font>
        <condense val="0"/>
        <extend val="0"/>
        <color rgb="FF9C0006"/>
      </font>
      <fill>
        <patternFill>
          <bgColor rgb="FFFFC7CE"/>
        </patternFill>
      </fill>
    </dxf>
    <dxf>
      <font>
        <color auto="1"/>
      </font>
      <fill>
        <patternFill>
          <bgColor theme="3" tint="0.59996337778862885"/>
        </patternFill>
      </fill>
    </dxf>
    <dxf>
      <font>
        <color theme="1"/>
      </font>
      <fill>
        <patternFill>
          <bgColor theme="0" tint="-4.9989318521683403E-2"/>
        </patternFill>
      </fill>
    </dxf>
    <dxf>
      <fill>
        <patternFill>
          <bgColor theme="3" tint="0.39994506668294322"/>
        </patternFill>
      </fill>
    </dxf>
    <dxf>
      <font>
        <condense val="0"/>
        <extend val="0"/>
        <color rgb="FF9C0006"/>
      </font>
      <fill>
        <patternFill>
          <bgColor rgb="FFFFC7CE"/>
        </patternFill>
      </fill>
    </dxf>
    <dxf>
      <font>
        <color auto="1"/>
      </font>
      <fill>
        <patternFill>
          <bgColor theme="3" tint="0.59996337778862885"/>
        </patternFill>
      </fill>
    </dxf>
    <dxf>
      <font>
        <color theme="1"/>
      </font>
      <fill>
        <patternFill>
          <bgColor theme="0" tint="-4.9989318521683403E-2"/>
        </patternFill>
      </fill>
    </dxf>
    <dxf>
      <fill>
        <patternFill>
          <bgColor theme="3" tint="0.39994506668294322"/>
        </patternFill>
      </fill>
    </dxf>
    <dxf>
      <font>
        <condense val="0"/>
        <extend val="0"/>
        <color rgb="FF9C0006"/>
      </font>
      <fill>
        <patternFill>
          <bgColor rgb="FFFFC7CE"/>
        </patternFill>
      </fill>
    </dxf>
    <dxf>
      <font>
        <color auto="1"/>
      </font>
      <fill>
        <patternFill>
          <bgColor theme="3" tint="0.59996337778862885"/>
        </patternFill>
      </fill>
    </dxf>
    <dxf>
      <fill>
        <patternFill>
          <bgColor theme="3" tint="0.39994506668294322"/>
        </patternFill>
      </fill>
    </dxf>
    <dxf>
      <font>
        <condense val="0"/>
        <extend val="0"/>
        <color rgb="FF9C0006"/>
      </font>
      <fill>
        <patternFill>
          <bgColor rgb="FFFFC7CE"/>
        </patternFill>
      </fill>
    </dxf>
    <dxf>
      <font>
        <color auto="1"/>
      </font>
      <fill>
        <patternFill>
          <bgColor theme="3" tint="0.59996337778862885"/>
        </patternFill>
      </fill>
    </dxf>
    <dxf>
      <fill>
        <patternFill>
          <bgColor rgb="FFABC773"/>
        </patternFill>
      </fill>
    </dxf>
    <dxf>
      <font>
        <color theme="0"/>
      </font>
    </dxf>
  </dxfs>
  <tableStyles count="0" defaultTableStyle="TableStyleMedium9" defaultPivotStyle="PivotStyleLight16"/>
  <colors>
    <mruColors>
      <color rgb="FFE0E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624840</xdr:colOff>
      <xdr:row>4</xdr:row>
      <xdr:rowOff>53340</xdr:rowOff>
    </xdr:to>
    <xdr:pic>
      <xdr:nvPicPr>
        <xdr:cNvPr id="2" name="Imagem 8" descr="Brasão PNG.png">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06680"/>
          <a:ext cx="1028700" cy="899160"/>
        </a:xfrm>
        <a:prstGeom prst="rect">
          <a:avLst/>
        </a:prstGeom>
        <a:noFill/>
      </xdr:spPr>
    </xdr:pic>
    <xdr:clientData/>
  </xdr:twoCellAnchor>
  <xdr:twoCellAnchor>
    <xdr:from>
      <xdr:col>0</xdr:col>
      <xdr:colOff>45720</xdr:colOff>
      <xdr:row>4</xdr:row>
      <xdr:rowOff>53340</xdr:rowOff>
    </xdr:from>
    <xdr:to>
      <xdr:col>9</xdr:col>
      <xdr:colOff>891540</xdr:colOff>
      <xdr:row>4</xdr:row>
      <xdr:rowOff>114300</xdr:rowOff>
    </xdr:to>
    <xdr:sp macro="" textlink="">
      <xdr:nvSpPr>
        <xdr:cNvPr id="3" name="Retângulo 3">
          <a:extLst>
            <a:ext uri="{FF2B5EF4-FFF2-40B4-BE49-F238E27FC236}">
              <a16:creationId xmlns="" xmlns:a16="http://schemas.microsoft.com/office/drawing/2014/main" id="{00000000-0008-0000-0200-000003000000}"/>
            </a:ext>
          </a:extLst>
        </xdr:cNvPr>
        <xdr:cNvSpPr>
          <a:spLocks noChangeArrowheads="1"/>
        </xdr:cNvSpPr>
      </xdr:nvSpPr>
      <xdr:spPr bwMode="auto">
        <a:xfrm>
          <a:off x="45720" y="1005840"/>
          <a:ext cx="7665720" cy="60960"/>
        </a:xfrm>
        <a:prstGeom prst="rect">
          <a:avLst/>
        </a:prstGeom>
        <a:solidFill>
          <a:srgbClr val="000000"/>
        </a:solidFill>
        <a:ln w="38100">
          <a:noFill/>
          <a:miter lim="800000"/>
          <a:headEnd/>
          <a:tailEnd/>
        </a:ln>
        <a:effectLst>
          <a:outerShdw dist="28398" dir="3806097" algn="ctr" rotWithShape="0">
            <a:srgbClr val="7F7F7F">
              <a:alpha val="50000"/>
            </a:srgbClr>
          </a:outerShdw>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624840</xdr:colOff>
      <xdr:row>4</xdr:row>
      <xdr:rowOff>53340</xdr:rowOff>
    </xdr:to>
    <xdr:pic>
      <xdr:nvPicPr>
        <xdr:cNvPr id="2" name="Imagem 8" descr="Brasão PNG.png">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04775"/>
          <a:ext cx="1015365" cy="882015"/>
        </a:xfrm>
        <a:prstGeom prst="rect">
          <a:avLst/>
        </a:prstGeom>
        <a:noFill/>
      </xdr:spPr>
    </xdr:pic>
    <xdr:clientData/>
  </xdr:twoCellAnchor>
  <xdr:twoCellAnchor>
    <xdr:from>
      <xdr:col>0</xdr:col>
      <xdr:colOff>45720</xdr:colOff>
      <xdr:row>4</xdr:row>
      <xdr:rowOff>53340</xdr:rowOff>
    </xdr:from>
    <xdr:to>
      <xdr:col>9</xdr:col>
      <xdr:colOff>891540</xdr:colOff>
      <xdr:row>4</xdr:row>
      <xdr:rowOff>114300</xdr:rowOff>
    </xdr:to>
    <xdr:sp macro="" textlink="">
      <xdr:nvSpPr>
        <xdr:cNvPr id="3" name="Retângulo 3">
          <a:extLst>
            <a:ext uri="{FF2B5EF4-FFF2-40B4-BE49-F238E27FC236}">
              <a16:creationId xmlns="" xmlns:a16="http://schemas.microsoft.com/office/drawing/2014/main" id="{00000000-0008-0000-0300-000003000000}"/>
            </a:ext>
          </a:extLst>
        </xdr:cNvPr>
        <xdr:cNvSpPr>
          <a:spLocks noChangeArrowheads="1"/>
        </xdr:cNvSpPr>
      </xdr:nvSpPr>
      <xdr:spPr bwMode="auto">
        <a:xfrm>
          <a:off x="45720" y="986790"/>
          <a:ext cx="7579995" cy="60960"/>
        </a:xfrm>
        <a:prstGeom prst="rect">
          <a:avLst/>
        </a:prstGeom>
        <a:solidFill>
          <a:srgbClr val="000000"/>
        </a:solidFill>
        <a:ln w="38100">
          <a:noFill/>
          <a:miter lim="800000"/>
          <a:headEnd/>
          <a:tailEnd/>
        </a:ln>
        <a:effectLst>
          <a:outerShdw dist="28398" dir="3806097" algn="ctr" rotWithShape="0">
            <a:srgbClr val="7F7F7F">
              <a:alpha val="50000"/>
            </a:srgbClr>
          </a:outerShdw>
        </a:effec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85725</xdr:rowOff>
    </xdr:from>
    <xdr:to>
      <xdr:col>1</xdr:col>
      <xdr:colOff>624840</xdr:colOff>
      <xdr:row>4</xdr:row>
      <xdr:rowOff>34290</xdr:rowOff>
    </xdr:to>
    <xdr:pic>
      <xdr:nvPicPr>
        <xdr:cNvPr id="2" name="Imagem 8" descr="Brasão PNG.png">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85725"/>
          <a:ext cx="1015365" cy="882015"/>
        </a:xfrm>
        <a:prstGeom prst="rect">
          <a:avLst/>
        </a:prstGeom>
        <a:noFill/>
      </xdr:spPr>
    </xdr:pic>
    <xdr:clientData/>
  </xdr:twoCellAnchor>
  <xdr:twoCellAnchor>
    <xdr:from>
      <xdr:col>0</xdr:col>
      <xdr:colOff>45720</xdr:colOff>
      <xdr:row>4</xdr:row>
      <xdr:rowOff>53340</xdr:rowOff>
    </xdr:from>
    <xdr:to>
      <xdr:col>9</xdr:col>
      <xdr:colOff>891540</xdr:colOff>
      <xdr:row>4</xdr:row>
      <xdr:rowOff>114300</xdr:rowOff>
    </xdr:to>
    <xdr:sp macro="" textlink="">
      <xdr:nvSpPr>
        <xdr:cNvPr id="3" name="Retângulo 3">
          <a:extLst>
            <a:ext uri="{FF2B5EF4-FFF2-40B4-BE49-F238E27FC236}">
              <a16:creationId xmlns="" xmlns:a16="http://schemas.microsoft.com/office/drawing/2014/main" id="{00000000-0008-0000-0300-000003000000}"/>
            </a:ext>
          </a:extLst>
        </xdr:cNvPr>
        <xdr:cNvSpPr>
          <a:spLocks noChangeArrowheads="1"/>
        </xdr:cNvSpPr>
      </xdr:nvSpPr>
      <xdr:spPr bwMode="auto">
        <a:xfrm>
          <a:off x="45720" y="986790"/>
          <a:ext cx="7599045" cy="60960"/>
        </a:xfrm>
        <a:prstGeom prst="rect">
          <a:avLst/>
        </a:prstGeom>
        <a:solidFill>
          <a:srgbClr val="000000"/>
        </a:solidFill>
        <a:ln w="38100">
          <a:noFill/>
          <a:miter lim="800000"/>
          <a:headEnd/>
          <a:tailEnd/>
        </a:ln>
        <a:effectLst>
          <a:outerShdw dist="28398" dir="3806097" algn="ctr" rotWithShape="0">
            <a:srgbClr val="7F7F7F">
              <a:alpha val="50000"/>
            </a:srgbClr>
          </a:outerShdw>
        </a:effec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47624</xdr:colOff>
      <xdr:row>4</xdr:row>
      <xdr:rowOff>74296</xdr:rowOff>
    </xdr:from>
    <xdr:to>
      <xdr:col>7</xdr:col>
      <xdr:colOff>1285874</xdr:colOff>
      <xdr:row>4</xdr:row>
      <xdr:rowOff>120015</xdr:rowOff>
    </xdr:to>
    <xdr:sp macro="" textlink="">
      <xdr:nvSpPr>
        <xdr:cNvPr id="2" name="Retângulo 3">
          <a:extLst>
            <a:ext uri="{FF2B5EF4-FFF2-40B4-BE49-F238E27FC236}">
              <a16:creationId xmlns:a16="http://schemas.microsoft.com/office/drawing/2014/main" xmlns="" id="{2091DE55-5A9E-49ED-A739-93D3BAC5DE78}"/>
            </a:ext>
          </a:extLst>
        </xdr:cNvPr>
        <xdr:cNvSpPr>
          <a:spLocks noChangeArrowheads="1"/>
        </xdr:cNvSpPr>
      </xdr:nvSpPr>
      <xdr:spPr bwMode="auto">
        <a:xfrm flipV="1">
          <a:off x="47624" y="1388746"/>
          <a:ext cx="10353675" cy="45719"/>
        </a:xfrm>
        <a:prstGeom prst="rect">
          <a:avLst/>
        </a:prstGeom>
        <a:solidFill>
          <a:srgbClr val="000000"/>
        </a:solidFill>
        <a:ln w="38100">
          <a:noFill/>
          <a:miter lim="800000"/>
          <a:headEnd/>
          <a:tailEnd/>
        </a:ln>
        <a:effectLst>
          <a:outerShdw dist="28398" dir="3806097" algn="ctr" rotWithShape="0">
            <a:srgbClr val="7F7F7F">
              <a:alpha val="50000"/>
            </a:srgbClr>
          </a:outerShdw>
        </a:effectLst>
      </xdr:spPr>
    </xdr:sp>
    <xdr:clientData/>
  </xdr:twoCellAnchor>
  <xdr:twoCellAnchor>
    <xdr:from>
      <xdr:col>0</xdr:col>
      <xdr:colOff>47627</xdr:colOff>
      <xdr:row>1</xdr:row>
      <xdr:rowOff>192406</xdr:rowOff>
    </xdr:from>
    <xdr:to>
      <xdr:col>0</xdr:col>
      <xdr:colOff>1054861</xdr:colOff>
      <xdr:row>3</xdr:row>
      <xdr:rowOff>342900</xdr:rowOff>
    </xdr:to>
    <xdr:pic>
      <xdr:nvPicPr>
        <xdr:cNvPr id="3" name="Picture 3" descr="Brasão PNG">
          <a:extLst>
            <a:ext uri="{FF2B5EF4-FFF2-40B4-BE49-F238E27FC236}">
              <a16:creationId xmlns:a16="http://schemas.microsoft.com/office/drawing/2014/main" xmlns="" id="{F9019093-2E81-4A20-BBC1-D2A1E1055D4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7627" y="382906"/>
          <a:ext cx="1007234" cy="845819"/>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Desktop/16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2088">
          <cell r="Z2088">
            <v>33.409999999999997</v>
          </cell>
        </row>
        <row r="2094">
          <cell r="Z2094">
            <v>15.08</v>
          </cell>
        </row>
        <row r="2271">
          <cell r="Z2271">
            <v>3.85</v>
          </cell>
        </row>
        <row r="2279">
          <cell r="Z2279">
            <v>11.37</v>
          </cell>
        </row>
      </sheetData>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prefeito2013@paranapanema.sp.gov.br"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prefeito2013@paranapanema.sp.gov.br"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prefeito2013@paranapanema.sp.gov.br"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P490"/>
  <sheetViews>
    <sheetView topLeftCell="A232" workbookViewId="0">
      <selection activeCell="B242" sqref="B242:F242"/>
    </sheetView>
  </sheetViews>
  <sheetFormatPr defaultRowHeight="15"/>
  <cols>
    <col min="1" max="1" width="5.85546875" style="309" customWidth="1"/>
    <col min="2" max="2" width="10.5703125" style="309" customWidth="1"/>
    <col min="3" max="3" width="13.42578125" style="309" customWidth="1"/>
    <col min="4" max="4" width="9.140625" style="309"/>
    <col min="5" max="5" width="15" style="309" customWidth="1"/>
    <col min="6" max="6" width="9.28515625" style="309" customWidth="1"/>
    <col min="7" max="7" width="8.140625" style="57" customWidth="1"/>
    <col min="8" max="8" width="10.42578125" style="57" customWidth="1"/>
    <col min="9" max="9" width="11.7109375" style="35" customWidth="1"/>
    <col min="10" max="10" width="13.28515625" style="309" customWidth="1"/>
    <col min="11" max="11" width="10.140625" customWidth="1"/>
    <col min="12" max="12" width="14.28515625" customWidth="1"/>
    <col min="13" max="13" width="11.5703125" customWidth="1"/>
    <col min="14" max="14" width="10.5703125" bestFit="1" customWidth="1"/>
    <col min="15" max="15" width="10.5703125" customWidth="1"/>
  </cols>
  <sheetData>
    <row r="1" spans="1:10" s="11" customFormat="1" ht="9.75" customHeight="1" thickTop="1">
      <c r="A1" s="345"/>
      <c r="B1" s="346"/>
      <c r="C1" s="346"/>
      <c r="D1" s="346"/>
      <c r="E1" s="346"/>
      <c r="F1" s="346"/>
      <c r="G1" s="347"/>
      <c r="H1" s="347"/>
      <c r="I1" s="348"/>
      <c r="J1" s="349"/>
    </row>
    <row r="2" spans="1:10" s="11" customFormat="1">
      <c r="A2" s="1377" t="s">
        <v>213</v>
      </c>
      <c r="B2" s="1378"/>
      <c r="C2" s="1378"/>
      <c r="D2" s="1378"/>
      <c r="E2" s="1378"/>
      <c r="F2" s="1378"/>
      <c r="G2" s="1378"/>
      <c r="H2" s="1378"/>
      <c r="I2" s="1378"/>
      <c r="J2" s="1379"/>
    </row>
    <row r="3" spans="1:10" s="11" customFormat="1" ht="20.25" customHeight="1">
      <c r="A3" s="1307" t="s">
        <v>308</v>
      </c>
      <c r="B3" s="1308"/>
      <c r="C3" s="1308"/>
      <c r="D3" s="1308"/>
      <c r="E3" s="1308"/>
      <c r="F3" s="1308"/>
      <c r="G3" s="1308"/>
      <c r="H3" s="1308"/>
      <c r="I3" s="1308"/>
      <c r="J3" s="1309"/>
    </row>
    <row r="4" spans="1:10" s="11" customFormat="1" ht="12" customHeight="1">
      <c r="A4" s="1307"/>
      <c r="B4" s="1308"/>
      <c r="C4" s="1308"/>
      <c r="D4" s="1308"/>
      <c r="E4" s="1308"/>
      <c r="F4" s="1308"/>
      <c r="G4" s="1308"/>
      <c r="H4" s="1308"/>
      <c r="I4" s="1308"/>
      <c r="J4" s="1309"/>
    </row>
    <row r="5" spans="1:10" s="11" customFormat="1" ht="11.25" customHeight="1">
      <c r="A5" s="1307"/>
      <c r="B5" s="1308"/>
      <c r="C5" s="1308"/>
      <c r="D5" s="1308"/>
      <c r="E5" s="1308"/>
      <c r="F5" s="1308"/>
      <c r="G5" s="1308"/>
      <c r="H5" s="1308"/>
      <c r="I5" s="1308"/>
      <c r="J5" s="1309"/>
    </row>
    <row r="6" spans="1:10" s="11" customFormat="1" ht="17.25" customHeight="1">
      <c r="A6" s="1377" t="s">
        <v>214</v>
      </c>
      <c r="B6" s="1378"/>
      <c r="C6" s="1378"/>
      <c r="D6" s="1378"/>
      <c r="E6" s="1378"/>
      <c r="F6" s="1378"/>
      <c r="G6" s="1378"/>
      <c r="H6" s="1378"/>
      <c r="I6" s="1378"/>
      <c r="J6" s="1379"/>
    </row>
    <row r="7" spans="1:10" s="11" customFormat="1" ht="12.75" customHeight="1">
      <c r="A7" s="1377" t="s">
        <v>310</v>
      </c>
      <c r="B7" s="1378"/>
      <c r="C7" s="1378"/>
      <c r="D7" s="1378"/>
      <c r="E7" s="1378"/>
      <c r="F7" s="1378"/>
      <c r="G7" s="1378"/>
      <c r="H7" s="1378"/>
      <c r="I7" s="1378"/>
      <c r="J7" s="1379"/>
    </row>
    <row r="8" spans="1:10" s="11" customFormat="1" ht="16.5" customHeight="1">
      <c r="A8" s="1377" t="s">
        <v>215</v>
      </c>
      <c r="B8" s="1378"/>
      <c r="C8" s="1378"/>
      <c r="D8" s="1378"/>
      <c r="E8" s="1378"/>
      <c r="F8" s="1378"/>
      <c r="G8" s="1378"/>
      <c r="H8" s="1378"/>
      <c r="I8" s="1378"/>
      <c r="J8" s="1379"/>
    </row>
    <row r="9" spans="1:10" s="11" customFormat="1">
      <c r="A9" s="1377" t="s">
        <v>309</v>
      </c>
      <c r="B9" s="1378"/>
      <c r="C9" s="1378"/>
      <c r="D9" s="1378"/>
      <c r="E9" s="1378"/>
      <c r="F9" s="1378"/>
      <c r="G9" s="1378"/>
      <c r="H9" s="1378"/>
      <c r="I9" s="1378"/>
      <c r="J9" s="1379"/>
    </row>
    <row r="10" spans="1:10" s="11" customFormat="1" ht="11.25" customHeight="1">
      <c r="A10" s="350"/>
      <c r="B10" s="286"/>
      <c r="C10" s="286"/>
      <c r="D10" s="286"/>
      <c r="E10" s="286"/>
      <c r="F10" s="286"/>
      <c r="G10" s="175"/>
      <c r="H10" s="175"/>
      <c r="I10" s="343"/>
      <c r="J10" s="351"/>
    </row>
    <row r="11" spans="1:10" s="16" customFormat="1" ht="15" customHeight="1">
      <c r="A11" s="1406" t="s">
        <v>371</v>
      </c>
      <c r="B11" s="1407"/>
      <c r="C11" s="1407"/>
      <c r="D11" s="1407"/>
      <c r="E11" s="1407"/>
      <c r="F11" s="1407"/>
      <c r="G11" s="1407"/>
      <c r="H11" s="1407"/>
      <c r="I11" s="1407"/>
      <c r="J11" s="1408"/>
    </row>
    <row r="12" spans="1:10" s="16" customFormat="1" ht="15" customHeight="1">
      <c r="A12" s="1409" t="s">
        <v>216</v>
      </c>
      <c r="B12" s="1410"/>
      <c r="C12" s="1410"/>
      <c r="D12" s="1410"/>
      <c r="E12" s="1410"/>
      <c r="F12" s="1410"/>
      <c r="G12" s="1410"/>
      <c r="H12" s="1410"/>
      <c r="I12" s="1410"/>
      <c r="J12" s="1411"/>
    </row>
    <row r="13" spans="1:10" s="16" customFormat="1" ht="9.75" customHeight="1">
      <c r="A13" s="350"/>
      <c r="B13" s="286"/>
      <c r="C13" s="286"/>
      <c r="D13" s="286"/>
      <c r="E13" s="286"/>
      <c r="F13" s="286"/>
      <c r="G13" s="175"/>
      <c r="H13" s="175"/>
      <c r="I13" s="343"/>
      <c r="J13" s="351"/>
    </row>
    <row r="14" spans="1:10" s="16" customFormat="1" ht="15" customHeight="1">
      <c r="A14" s="1400" t="s">
        <v>0</v>
      </c>
      <c r="B14" s="1401"/>
      <c r="C14" s="1401"/>
      <c r="D14" s="1401"/>
      <c r="E14" s="1401"/>
      <c r="F14" s="1401"/>
      <c r="G14" s="1401"/>
      <c r="H14" s="1401"/>
      <c r="I14" s="1401"/>
      <c r="J14" s="1402"/>
    </row>
    <row r="15" spans="1:10" s="16" customFormat="1" ht="15" customHeight="1">
      <c r="A15" s="1399" t="s">
        <v>217</v>
      </c>
      <c r="B15" s="1295"/>
      <c r="C15" s="1295"/>
      <c r="D15" s="1295"/>
      <c r="E15" s="1295"/>
      <c r="F15" s="1295"/>
      <c r="G15" s="1295"/>
      <c r="H15" s="1295"/>
      <c r="I15" s="1295"/>
      <c r="J15" s="1296"/>
    </row>
    <row r="16" spans="1:10" s="16" customFormat="1" ht="15" customHeight="1">
      <c r="A16" s="1399" t="s">
        <v>218</v>
      </c>
      <c r="B16" s="1295"/>
      <c r="C16" s="1295"/>
      <c r="D16" s="1295" t="s">
        <v>219</v>
      </c>
      <c r="E16" s="1295"/>
      <c r="F16" s="1295"/>
      <c r="G16" s="1295"/>
      <c r="H16" s="1295"/>
      <c r="I16" s="1295" t="s">
        <v>220</v>
      </c>
      <c r="J16" s="1296"/>
    </row>
    <row r="17" spans="1:10" s="16" customFormat="1" ht="15" customHeight="1">
      <c r="A17" s="1399" t="s">
        <v>221</v>
      </c>
      <c r="B17" s="1295"/>
      <c r="C17" s="1295" t="s">
        <v>222</v>
      </c>
      <c r="D17" s="1295"/>
      <c r="E17" s="1295" t="s">
        <v>223</v>
      </c>
      <c r="F17" s="1295"/>
      <c r="G17" s="1295"/>
      <c r="H17" s="1291" t="s">
        <v>224</v>
      </c>
      <c r="I17" s="1292"/>
      <c r="J17" s="1293"/>
    </row>
    <row r="18" spans="1:10" s="16" customFormat="1" ht="10.5" customHeight="1">
      <c r="A18" s="350"/>
      <c r="B18" s="286"/>
      <c r="C18" s="286"/>
      <c r="D18" s="286"/>
      <c r="E18" s="286"/>
      <c r="F18" s="286"/>
      <c r="G18" s="175"/>
      <c r="H18" s="175"/>
      <c r="I18" s="343"/>
      <c r="J18" s="351"/>
    </row>
    <row r="19" spans="1:10" s="16" customFormat="1" ht="15" customHeight="1">
      <c r="A19" s="1400" t="s">
        <v>1</v>
      </c>
      <c r="B19" s="1401"/>
      <c r="C19" s="1401"/>
      <c r="D19" s="1401"/>
      <c r="E19" s="1401"/>
      <c r="F19" s="1401"/>
      <c r="G19" s="1401"/>
      <c r="H19" s="1401"/>
      <c r="I19" s="1401"/>
      <c r="J19" s="1402"/>
    </row>
    <row r="20" spans="1:10" s="16" customFormat="1" ht="15" customHeight="1">
      <c r="A20" s="1399" t="s">
        <v>307</v>
      </c>
      <c r="B20" s="1295"/>
      <c r="C20" s="1295"/>
      <c r="D20" s="1295"/>
      <c r="E20" s="1295"/>
      <c r="F20" s="1295"/>
      <c r="G20" s="1330" t="s">
        <v>225</v>
      </c>
      <c r="H20" s="1330"/>
      <c r="I20" s="1295" t="s">
        <v>226</v>
      </c>
      <c r="J20" s="1296"/>
    </row>
    <row r="21" spans="1:10" s="16" customFormat="1" ht="15" customHeight="1">
      <c r="A21" s="1384" t="s">
        <v>227</v>
      </c>
      <c r="B21" s="1372"/>
      <c r="C21" s="1372"/>
      <c r="D21" s="1372"/>
      <c r="E21" s="1372"/>
      <c r="F21" s="1372"/>
      <c r="G21" s="1372" t="s">
        <v>2</v>
      </c>
      <c r="H21" s="1372"/>
      <c r="I21" s="1372"/>
      <c r="J21" s="1373"/>
    </row>
    <row r="22" spans="1:10" s="16" customFormat="1" ht="15" customHeight="1">
      <c r="A22" s="1388" t="s">
        <v>384</v>
      </c>
      <c r="B22" s="1389"/>
      <c r="C22" s="1389"/>
      <c r="D22" s="1389"/>
      <c r="E22" s="1389"/>
      <c r="F22" s="1390"/>
      <c r="G22" s="1391" t="s">
        <v>228</v>
      </c>
      <c r="H22" s="1392"/>
      <c r="I22" s="1392"/>
      <c r="J22" s="1393"/>
    </row>
    <row r="23" spans="1:10" s="16" customFormat="1" ht="10.5" customHeight="1">
      <c r="A23" s="350"/>
      <c r="B23" s="286"/>
      <c r="C23" s="286"/>
      <c r="D23" s="286"/>
      <c r="E23" s="286"/>
      <c r="F23" s="286"/>
      <c r="G23" s="175"/>
      <c r="H23" s="175"/>
      <c r="I23" s="343"/>
      <c r="J23" s="351"/>
    </row>
    <row r="24" spans="1:10" s="16" customFormat="1" ht="15" customHeight="1">
      <c r="A24" s="1478" t="s">
        <v>3</v>
      </c>
      <c r="B24" s="1479"/>
      <c r="C24" s="1479"/>
      <c r="D24" s="1479"/>
      <c r="E24" s="1479"/>
      <c r="F24" s="1479"/>
      <c r="G24" s="1479"/>
      <c r="H24" s="1479"/>
      <c r="I24" s="1479"/>
      <c r="J24" s="1480"/>
    </row>
    <row r="25" spans="1:10" s="16" customFormat="1" ht="15" customHeight="1">
      <c r="A25" s="1399" t="s">
        <v>297</v>
      </c>
      <c r="B25" s="1295"/>
      <c r="C25" s="1295"/>
      <c r="D25" s="1295"/>
      <c r="E25" s="1295"/>
      <c r="F25" s="1295"/>
      <c r="G25" s="1330" t="s">
        <v>305</v>
      </c>
      <c r="H25" s="1330"/>
      <c r="I25" s="1295" t="s">
        <v>306</v>
      </c>
      <c r="J25" s="1296"/>
    </row>
    <row r="26" spans="1:10" s="16" customFormat="1" ht="15" customHeight="1">
      <c r="A26" s="1399" t="s">
        <v>298</v>
      </c>
      <c r="B26" s="1295"/>
      <c r="C26" s="1295"/>
      <c r="D26" s="1295"/>
      <c r="E26" s="1295" t="s">
        <v>299</v>
      </c>
      <c r="F26" s="1295"/>
      <c r="G26" s="1295"/>
      <c r="H26" s="1295" t="s">
        <v>300</v>
      </c>
      <c r="I26" s="1295"/>
      <c r="J26" s="1296"/>
    </row>
    <row r="27" spans="1:10" s="16" customFormat="1" ht="27.6" customHeight="1">
      <c r="A27" s="352" t="s">
        <v>301</v>
      </c>
      <c r="B27" s="287"/>
      <c r="C27" s="1291" t="s">
        <v>302</v>
      </c>
      <c r="D27" s="1334"/>
      <c r="E27" s="1295" t="s">
        <v>303</v>
      </c>
      <c r="F27" s="1295"/>
      <c r="G27" s="1295" t="s">
        <v>304</v>
      </c>
      <c r="H27" s="1295"/>
      <c r="I27" s="1295"/>
      <c r="J27" s="1296"/>
    </row>
    <row r="28" spans="1:10" s="16" customFormat="1" ht="12" customHeight="1">
      <c r="A28" s="353"/>
      <c r="B28" s="288"/>
      <c r="C28" s="288"/>
      <c r="D28" s="288"/>
      <c r="E28" s="288"/>
      <c r="F28" s="288"/>
      <c r="G28" s="175"/>
      <c r="H28" s="175"/>
      <c r="I28" s="343"/>
      <c r="J28" s="351"/>
    </row>
    <row r="29" spans="1:10" s="16" customFormat="1" ht="15" customHeight="1">
      <c r="A29" s="1400" t="s">
        <v>4</v>
      </c>
      <c r="B29" s="1401"/>
      <c r="C29" s="1401"/>
      <c r="D29" s="1401"/>
      <c r="E29" s="1401"/>
      <c r="F29" s="1401"/>
      <c r="G29" s="1401"/>
      <c r="H29" s="1401"/>
      <c r="I29" s="1401"/>
      <c r="J29" s="1402"/>
    </row>
    <row r="30" spans="1:10" s="16" customFormat="1" ht="15" customHeight="1">
      <c r="A30" s="1399" t="s">
        <v>229</v>
      </c>
      <c r="B30" s="1295"/>
      <c r="C30" s="1295"/>
      <c r="D30" s="1295"/>
      <c r="E30" s="1295"/>
      <c r="F30" s="1295"/>
      <c r="G30" s="1295"/>
      <c r="H30" s="1295"/>
      <c r="I30" s="1295"/>
      <c r="J30" s="1296"/>
    </row>
    <row r="31" spans="1:10" s="16" customFormat="1" ht="15" customHeight="1">
      <c r="A31" s="1399" t="s">
        <v>230</v>
      </c>
      <c r="B31" s="1295"/>
      <c r="C31" s="1295"/>
      <c r="D31" s="1295"/>
      <c r="E31" s="1295"/>
      <c r="F31" s="1295"/>
      <c r="G31" s="1295"/>
      <c r="H31" s="1295"/>
      <c r="I31" s="1295"/>
      <c r="J31" s="1296"/>
    </row>
    <row r="32" spans="1:10" s="16" customFormat="1" ht="10.5" customHeight="1">
      <c r="A32" s="350"/>
      <c r="B32" s="286"/>
      <c r="C32" s="286"/>
      <c r="D32" s="286"/>
      <c r="E32" s="286"/>
      <c r="F32" s="286"/>
      <c r="G32" s="175"/>
      <c r="H32" s="175"/>
      <c r="I32" s="343"/>
      <c r="J32" s="351"/>
    </row>
    <row r="33" spans="1:11" s="16" customFormat="1" ht="15" customHeight="1">
      <c r="A33" s="1400" t="s">
        <v>5</v>
      </c>
      <c r="B33" s="1401"/>
      <c r="C33" s="1401"/>
      <c r="D33" s="1401"/>
      <c r="E33" s="1401"/>
      <c r="F33" s="1401"/>
      <c r="G33" s="1401"/>
      <c r="H33" s="1401"/>
      <c r="I33" s="1401"/>
      <c r="J33" s="1402"/>
    </row>
    <row r="34" spans="1:11" s="16" customFormat="1" ht="15" customHeight="1">
      <c r="A34" s="1399" t="s">
        <v>6</v>
      </c>
      <c r="B34" s="1295"/>
      <c r="C34" s="1295"/>
      <c r="D34" s="1295"/>
      <c r="E34" s="1295"/>
      <c r="F34" s="1295"/>
      <c r="G34" s="1295"/>
      <c r="H34" s="1295"/>
      <c r="I34" s="1295"/>
      <c r="J34" s="1296"/>
    </row>
    <row r="35" spans="1:11" s="16" customFormat="1" ht="15" customHeight="1">
      <c r="A35" s="1403" t="s">
        <v>372</v>
      </c>
      <c r="B35" s="1404"/>
      <c r="C35" s="1404"/>
      <c r="D35" s="1404"/>
      <c r="E35" s="1404"/>
      <c r="F35" s="1404"/>
      <c r="G35" s="1404"/>
      <c r="H35" s="1404"/>
      <c r="I35" s="1404"/>
      <c r="J35" s="1405"/>
    </row>
    <row r="36" spans="1:11" s="16" customFormat="1" ht="15" customHeight="1">
      <c r="A36" s="1399" t="s">
        <v>7</v>
      </c>
      <c r="B36" s="1295"/>
      <c r="C36" s="1295"/>
      <c r="D36" s="1295"/>
      <c r="E36" s="1295"/>
      <c r="F36" s="1295"/>
      <c r="G36" s="1295"/>
      <c r="H36" s="1295"/>
      <c r="I36" s="1295"/>
      <c r="J36" s="1296"/>
    </row>
    <row r="37" spans="1:11" s="16" customFormat="1" ht="15" customHeight="1">
      <c r="A37" s="1403" t="s">
        <v>419</v>
      </c>
      <c r="B37" s="1404"/>
      <c r="C37" s="1404"/>
      <c r="D37" s="1404"/>
      <c r="E37" s="1404"/>
      <c r="F37" s="1404"/>
      <c r="G37" s="1404"/>
      <c r="H37" s="1404"/>
      <c r="I37" s="1404"/>
      <c r="J37" s="1405"/>
    </row>
    <row r="38" spans="1:11" s="16" customFormat="1" ht="9" customHeight="1">
      <c r="A38" s="1486"/>
      <c r="B38" s="1487"/>
      <c r="C38" s="1488"/>
      <c r="D38" s="336"/>
      <c r="E38" s="289"/>
      <c r="F38" s="289"/>
      <c r="G38" s="332"/>
      <c r="H38" s="332"/>
      <c r="I38" s="176"/>
      <c r="J38" s="354"/>
    </row>
    <row r="39" spans="1:11" s="16" customFormat="1" ht="12.75" customHeight="1">
      <c r="A39" s="1476" t="s">
        <v>8</v>
      </c>
      <c r="B39" s="1372" t="s">
        <v>9</v>
      </c>
      <c r="C39" s="1372"/>
      <c r="D39" s="1489" t="s">
        <v>373</v>
      </c>
      <c r="E39" s="1489"/>
      <c r="F39" s="1489"/>
      <c r="G39" s="1489"/>
      <c r="H39" s="1489"/>
      <c r="I39" s="1489"/>
      <c r="J39" s="1490"/>
    </row>
    <row r="40" spans="1:11" s="16" customFormat="1" ht="15" customHeight="1">
      <c r="A40" s="1477"/>
      <c r="B40" s="1386" t="s">
        <v>10</v>
      </c>
      <c r="C40" s="1386"/>
      <c r="D40" s="1386" t="s">
        <v>232</v>
      </c>
      <c r="E40" s="1386"/>
      <c r="F40" s="1386"/>
      <c r="G40" s="1386"/>
      <c r="H40" s="1386"/>
      <c r="I40" s="1386"/>
      <c r="J40" s="1387"/>
    </row>
    <row r="41" spans="1:11" s="16" customFormat="1" ht="16.5" customHeight="1">
      <c r="A41" s="1394" t="s">
        <v>205</v>
      </c>
      <c r="B41" s="1395"/>
      <c r="C41" s="1395"/>
      <c r="D41" s="1395"/>
      <c r="E41" s="1395"/>
      <c r="F41" s="1395"/>
      <c r="G41" s="1395"/>
      <c r="H41" s="1395"/>
      <c r="I41" s="1395"/>
      <c r="J41" s="1396"/>
    </row>
    <row r="42" spans="1:11" s="16" customFormat="1" ht="41.25" customHeight="1">
      <c r="A42" s="355">
        <v>1</v>
      </c>
      <c r="B42" s="1294" t="s">
        <v>319</v>
      </c>
      <c r="C42" s="1294"/>
      <c r="D42" s="1397" t="s">
        <v>231</v>
      </c>
      <c r="E42" s="1397"/>
      <c r="F42" s="1397"/>
      <c r="G42" s="1397"/>
      <c r="H42" s="1397"/>
      <c r="I42" s="1397"/>
      <c r="J42" s="1398"/>
    </row>
    <row r="43" spans="1:11" s="16" customFormat="1" ht="44.25" customHeight="1">
      <c r="A43" s="355">
        <v>2</v>
      </c>
      <c r="B43" s="1294" t="s">
        <v>235</v>
      </c>
      <c r="C43" s="1294"/>
      <c r="D43" s="1397" t="s">
        <v>234</v>
      </c>
      <c r="E43" s="1397"/>
      <c r="F43" s="1397"/>
      <c r="G43" s="1397"/>
      <c r="H43" s="1397"/>
      <c r="I43" s="1397"/>
      <c r="J43" s="1398"/>
    </row>
    <row r="44" spans="1:11" s="16" customFormat="1" ht="56.45" customHeight="1">
      <c r="A44" s="355" t="s">
        <v>84</v>
      </c>
      <c r="B44" s="1294" t="s">
        <v>236</v>
      </c>
      <c r="C44" s="1294"/>
      <c r="D44" s="1397" t="s">
        <v>237</v>
      </c>
      <c r="E44" s="1397"/>
      <c r="F44" s="1397"/>
      <c r="G44" s="1397"/>
      <c r="H44" s="1397"/>
      <c r="I44" s="1397"/>
      <c r="J44" s="1398"/>
    </row>
    <row r="45" spans="1:11" s="16" customFormat="1" ht="30.6" customHeight="1">
      <c r="A45" s="355" t="s">
        <v>43</v>
      </c>
      <c r="B45" s="1294" t="s">
        <v>239</v>
      </c>
      <c r="C45" s="1294"/>
      <c r="D45" s="1291" t="s">
        <v>238</v>
      </c>
      <c r="E45" s="1292"/>
      <c r="F45" s="1292"/>
      <c r="G45" s="1292"/>
      <c r="H45" s="1292"/>
      <c r="I45" s="1292"/>
      <c r="J45" s="1293"/>
    </row>
    <row r="46" spans="1:11" s="16" customFormat="1" ht="32.25" customHeight="1" thickBot="1">
      <c r="A46" s="356" t="s">
        <v>240</v>
      </c>
      <c r="B46" s="1342" t="s">
        <v>241</v>
      </c>
      <c r="C46" s="1342"/>
      <c r="D46" s="1349" t="s">
        <v>242</v>
      </c>
      <c r="E46" s="1350"/>
      <c r="F46" s="1350"/>
      <c r="G46" s="1350"/>
      <c r="H46" s="1350"/>
      <c r="I46" s="1350"/>
      <c r="J46" s="1351"/>
    </row>
    <row r="47" spans="1:11" s="16" customFormat="1" ht="30.6" customHeight="1" thickTop="1">
      <c r="A47" s="509"/>
      <c r="B47" s="509"/>
      <c r="C47" s="509"/>
      <c r="D47" s="511"/>
      <c r="E47" s="511"/>
      <c r="F47" s="511"/>
      <c r="G47" s="511"/>
      <c r="H47" s="511"/>
      <c r="I47" s="511"/>
      <c r="J47" s="511"/>
      <c r="K47" s="18"/>
    </row>
    <row r="48" spans="1:11" ht="15.75" thickBot="1">
      <c r="A48" s="359"/>
      <c r="J48" s="359"/>
    </row>
    <row r="49" spans="1:10" s="16" customFormat="1" ht="43.5" customHeight="1" thickTop="1">
      <c r="A49" s="357" t="s">
        <v>45</v>
      </c>
      <c r="B49" s="1352" t="s">
        <v>243</v>
      </c>
      <c r="C49" s="1352"/>
      <c r="D49" s="1353" t="s">
        <v>244</v>
      </c>
      <c r="E49" s="1354"/>
      <c r="F49" s="1354"/>
      <c r="G49" s="1354"/>
      <c r="H49" s="1354"/>
      <c r="I49" s="1354"/>
      <c r="J49" s="1355"/>
    </row>
    <row r="50" spans="1:10" s="16" customFormat="1" ht="294.60000000000002" customHeight="1">
      <c r="A50" s="355" t="s">
        <v>47</v>
      </c>
      <c r="B50" s="1294" t="s">
        <v>245</v>
      </c>
      <c r="C50" s="1294"/>
      <c r="D50" s="1450" t="s">
        <v>420</v>
      </c>
      <c r="E50" s="1451"/>
      <c r="F50" s="1451"/>
      <c r="G50" s="1451"/>
      <c r="H50" s="1451"/>
      <c r="I50" s="1451"/>
      <c r="J50" s="1452"/>
    </row>
    <row r="51" spans="1:10" s="16" customFormat="1" ht="36.6" customHeight="1">
      <c r="A51" s="355">
        <v>3</v>
      </c>
      <c r="B51" s="1294" t="s">
        <v>246</v>
      </c>
      <c r="C51" s="1294"/>
      <c r="D51" s="1291" t="s">
        <v>247</v>
      </c>
      <c r="E51" s="1292"/>
      <c r="F51" s="1292"/>
      <c r="G51" s="1292"/>
      <c r="H51" s="1292"/>
      <c r="I51" s="1292"/>
      <c r="J51" s="1293"/>
    </row>
    <row r="52" spans="1:10" s="16" customFormat="1" ht="108.75" customHeight="1">
      <c r="A52" s="358" t="s">
        <v>54</v>
      </c>
      <c r="B52" s="1356" t="s">
        <v>248</v>
      </c>
      <c r="C52" s="1356"/>
      <c r="D52" s="1372" t="s">
        <v>249</v>
      </c>
      <c r="E52" s="1372"/>
      <c r="F52" s="1372"/>
      <c r="G52" s="1372"/>
      <c r="H52" s="1372"/>
      <c r="I52" s="1372"/>
      <c r="J52" s="1373"/>
    </row>
    <row r="53" spans="1:10" s="16" customFormat="1" ht="58.9" customHeight="1">
      <c r="A53" s="355" t="s">
        <v>95</v>
      </c>
      <c r="B53" s="1294" t="s">
        <v>250</v>
      </c>
      <c r="C53" s="1294"/>
      <c r="D53" s="1291" t="s">
        <v>251</v>
      </c>
      <c r="E53" s="1292"/>
      <c r="F53" s="1292"/>
      <c r="G53" s="1292"/>
      <c r="H53" s="1292"/>
      <c r="I53" s="1292"/>
      <c r="J53" s="1293"/>
    </row>
    <row r="54" spans="1:10" s="16" customFormat="1" ht="84" customHeight="1">
      <c r="A54" s="355">
        <v>4</v>
      </c>
      <c r="B54" s="1294" t="s">
        <v>252</v>
      </c>
      <c r="C54" s="1294"/>
      <c r="D54" s="1291" t="s">
        <v>253</v>
      </c>
      <c r="E54" s="1292"/>
      <c r="F54" s="1292"/>
      <c r="G54" s="1292"/>
      <c r="H54" s="1292"/>
      <c r="I54" s="1292"/>
      <c r="J54" s="1293"/>
    </row>
    <row r="55" spans="1:10" s="16" customFormat="1" ht="108.6" customHeight="1">
      <c r="A55" s="355">
        <v>5</v>
      </c>
      <c r="B55" s="1294" t="s">
        <v>254</v>
      </c>
      <c r="C55" s="1294"/>
      <c r="D55" s="1291" t="s">
        <v>333</v>
      </c>
      <c r="E55" s="1292"/>
      <c r="F55" s="1292"/>
      <c r="G55" s="1292"/>
      <c r="H55" s="1292"/>
      <c r="I55" s="1292"/>
      <c r="J55" s="1293"/>
    </row>
    <row r="56" spans="1:10" s="16" customFormat="1" ht="46.15" customHeight="1" thickBot="1">
      <c r="A56" s="356">
        <v>6</v>
      </c>
      <c r="B56" s="1342" t="s">
        <v>255</v>
      </c>
      <c r="C56" s="1342"/>
      <c r="D56" s="1491" t="s">
        <v>389</v>
      </c>
      <c r="E56" s="1492"/>
      <c r="F56" s="1492"/>
      <c r="G56" s="1492"/>
      <c r="H56" s="1492"/>
      <c r="I56" s="1492"/>
      <c r="J56" s="1493"/>
    </row>
    <row r="57" spans="1:10" s="16" customFormat="1" ht="25.15" customHeight="1" thickTop="1">
      <c r="A57" s="509"/>
      <c r="B57" s="509"/>
      <c r="C57" s="509"/>
      <c r="D57" s="511"/>
      <c r="E57" s="511"/>
      <c r="F57" s="511"/>
      <c r="G57" s="511"/>
      <c r="H57" s="511"/>
      <c r="I57" s="511"/>
      <c r="J57" s="511"/>
    </row>
    <row r="58" spans="1:10" ht="15.75" thickBot="1">
      <c r="A58" s="359"/>
      <c r="B58" s="359"/>
      <c r="C58" s="359"/>
      <c r="D58" s="359"/>
      <c r="E58" s="359"/>
      <c r="F58" s="359"/>
      <c r="G58" s="360"/>
      <c r="H58" s="360"/>
      <c r="I58" s="361"/>
      <c r="J58" s="359"/>
    </row>
    <row r="59" spans="1:10" s="16" customFormat="1" ht="129.6" customHeight="1" thickTop="1">
      <c r="A59" s="357">
        <v>7</v>
      </c>
      <c r="B59" s="1352" t="s">
        <v>256</v>
      </c>
      <c r="C59" s="1352"/>
      <c r="D59" s="1353" t="s">
        <v>289</v>
      </c>
      <c r="E59" s="1354"/>
      <c r="F59" s="1354"/>
      <c r="G59" s="1354"/>
      <c r="H59" s="1354"/>
      <c r="I59" s="1354"/>
      <c r="J59" s="1355"/>
    </row>
    <row r="60" spans="1:10" s="16" customFormat="1" ht="79.150000000000006" customHeight="1">
      <c r="A60" s="355">
        <v>8</v>
      </c>
      <c r="B60" s="1294" t="s">
        <v>258</v>
      </c>
      <c r="C60" s="1294"/>
      <c r="D60" s="1291" t="s">
        <v>257</v>
      </c>
      <c r="E60" s="1292"/>
      <c r="F60" s="1292"/>
      <c r="G60" s="1292"/>
      <c r="H60" s="1292"/>
      <c r="I60" s="1292"/>
      <c r="J60" s="1293"/>
    </row>
    <row r="61" spans="1:10" s="16" customFormat="1" ht="23.45" customHeight="1">
      <c r="A61" s="363">
        <v>9</v>
      </c>
      <c r="B61" s="1496" t="s">
        <v>260</v>
      </c>
      <c r="C61" s="1496"/>
      <c r="D61" s="1494" t="s">
        <v>259</v>
      </c>
      <c r="E61" s="1494"/>
      <c r="F61" s="1494"/>
      <c r="G61" s="1494"/>
      <c r="H61" s="1494"/>
      <c r="I61" s="1494"/>
      <c r="J61" s="1495"/>
    </row>
    <row r="62" spans="1:10" s="16" customFormat="1" ht="54" customHeight="1">
      <c r="A62" s="355">
        <v>10</v>
      </c>
      <c r="B62" s="1294" t="s">
        <v>261</v>
      </c>
      <c r="C62" s="1294"/>
      <c r="D62" s="1346" t="s">
        <v>262</v>
      </c>
      <c r="E62" s="1347"/>
      <c r="F62" s="1347"/>
      <c r="G62" s="1347"/>
      <c r="H62" s="1347"/>
      <c r="I62" s="1347"/>
      <c r="J62" s="1348"/>
    </row>
    <row r="63" spans="1:10" s="16" customFormat="1" ht="68.45" customHeight="1">
      <c r="A63" s="358">
        <v>11</v>
      </c>
      <c r="B63" s="1356" t="s">
        <v>263</v>
      </c>
      <c r="C63" s="1356"/>
      <c r="D63" s="1447" t="s">
        <v>290</v>
      </c>
      <c r="E63" s="1448"/>
      <c r="F63" s="1448"/>
      <c r="G63" s="1448"/>
      <c r="H63" s="1448"/>
      <c r="I63" s="1448"/>
      <c r="J63" s="1449"/>
    </row>
    <row r="64" spans="1:10" s="16" customFormat="1" ht="226.15" customHeight="1">
      <c r="A64" s="355" t="s">
        <v>197</v>
      </c>
      <c r="B64" s="1294" t="s">
        <v>264</v>
      </c>
      <c r="C64" s="1294"/>
      <c r="D64" s="1295" t="s">
        <v>291</v>
      </c>
      <c r="E64" s="1295"/>
      <c r="F64" s="1295"/>
      <c r="G64" s="1295"/>
      <c r="H64" s="1295"/>
      <c r="I64" s="1295"/>
      <c r="J64" s="1296"/>
    </row>
    <row r="65" spans="1:10" s="16" customFormat="1" ht="175.15" customHeight="1" thickBot="1">
      <c r="A65" s="356">
        <v>12</v>
      </c>
      <c r="B65" s="1342" t="s">
        <v>265</v>
      </c>
      <c r="C65" s="1342"/>
      <c r="D65" s="1349" t="s">
        <v>292</v>
      </c>
      <c r="E65" s="1350"/>
      <c r="F65" s="1350"/>
      <c r="G65" s="1350"/>
      <c r="H65" s="1350"/>
      <c r="I65" s="1350"/>
      <c r="J65" s="1351"/>
    </row>
    <row r="66" spans="1:10" s="16" customFormat="1" ht="15" customHeight="1" thickTop="1">
      <c r="A66" s="342"/>
      <c r="B66" s="342"/>
      <c r="C66" s="342"/>
      <c r="D66" s="362"/>
      <c r="E66" s="362"/>
      <c r="F66" s="362"/>
      <c r="G66" s="362"/>
      <c r="H66" s="362"/>
      <c r="I66" s="362"/>
      <c r="J66" s="510"/>
    </row>
    <row r="67" spans="1:10" s="16" customFormat="1" ht="15" customHeight="1">
      <c r="A67" s="342"/>
      <c r="B67" s="342"/>
      <c r="C67" s="342"/>
      <c r="D67" s="362"/>
      <c r="E67" s="362"/>
      <c r="F67" s="362"/>
      <c r="G67" s="362"/>
      <c r="H67" s="362"/>
      <c r="I67" s="362"/>
      <c r="J67" s="362"/>
    </row>
    <row r="68" spans="1:10" s="16" customFormat="1" ht="15" customHeight="1">
      <c r="A68" s="342"/>
      <c r="B68" s="342"/>
      <c r="C68" s="342"/>
      <c r="D68" s="362"/>
      <c r="E68" s="362"/>
      <c r="F68" s="362"/>
      <c r="G68" s="362"/>
      <c r="H68" s="362"/>
      <c r="I68" s="362"/>
      <c r="J68" s="362"/>
    </row>
    <row r="69" spans="1:10" s="16" customFormat="1" ht="15" customHeight="1">
      <c r="A69" s="342"/>
      <c r="B69" s="342"/>
      <c r="C69" s="342"/>
      <c r="D69" s="362"/>
      <c r="E69" s="362"/>
      <c r="F69" s="362"/>
      <c r="G69" s="362"/>
      <c r="H69" s="362"/>
      <c r="I69" s="362"/>
      <c r="J69" s="362"/>
    </row>
    <row r="70" spans="1:10" s="16" customFormat="1" ht="15" customHeight="1" thickBot="1">
      <c r="A70" s="342"/>
      <c r="B70" s="342"/>
      <c r="C70" s="342"/>
      <c r="D70" s="362"/>
      <c r="E70" s="362"/>
      <c r="F70" s="362"/>
      <c r="G70" s="362"/>
      <c r="H70" s="362"/>
      <c r="I70" s="362"/>
      <c r="J70" s="371"/>
    </row>
    <row r="71" spans="1:10" s="16" customFormat="1" ht="15" customHeight="1" thickTop="1">
      <c r="A71" s="1323" t="s">
        <v>388</v>
      </c>
      <c r="B71" s="1324"/>
      <c r="C71" s="1324"/>
      <c r="D71" s="1324"/>
      <c r="E71" s="1324"/>
      <c r="F71" s="1324"/>
      <c r="G71" s="1324"/>
      <c r="H71" s="1324"/>
      <c r="I71" s="1324"/>
      <c r="J71" s="1325"/>
    </row>
    <row r="72" spans="1:10" s="16" customFormat="1" ht="44.45" customHeight="1">
      <c r="A72" s="364" t="s">
        <v>406</v>
      </c>
      <c r="B72" s="1481" t="s">
        <v>36</v>
      </c>
      <c r="C72" s="1482"/>
      <c r="D72" s="1455" t="s">
        <v>231</v>
      </c>
      <c r="E72" s="1456"/>
      <c r="F72" s="1456"/>
      <c r="G72" s="1456"/>
      <c r="H72" s="1456"/>
      <c r="I72" s="1456"/>
      <c r="J72" s="1457"/>
    </row>
    <row r="73" spans="1:10" s="16" customFormat="1" ht="35.450000000000003" customHeight="1">
      <c r="A73" s="355" t="s">
        <v>39</v>
      </c>
      <c r="B73" s="1357" t="s">
        <v>385</v>
      </c>
      <c r="C73" s="1358"/>
      <c r="D73" s="1359" t="s">
        <v>365</v>
      </c>
      <c r="E73" s="1359"/>
      <c r="F73" s="1359"/>
      <c r="G73" s="1359"/>
      <c r="H73" s="1359"/>
      <c r="I73" s="1359"/>
      <c r="J73" s="1360"/>
    </row>
    <row r="74" spans="1:10" s="16" customFormat="1" ht="82.15" customHeight="1">
      <c r="A74" s="358" t="s">
        <v>345</v>
      </c>
      <c r="B74" s="1361" t="s">
        <v>386</v>
      </c>
      <c r="C74" s="1361"/>
      <c r="D74" s="1359" t="s">
        <v>366</v>
      </c>
      <c r="E74" s="1359"/>
      <c r="F74" s="1359"/>
      <c r="G74" s="1359"/>
      <c r="H74" s="1359"/>
      <c r="I74" s="1359"/>
      <c r="J74" s="1360"/>
    </row>
    <row r="75" spans="1:10" s="16" customFormat="1" ht="41.45" customHeight="1">
      <c r="A75" s="358" t="s">
        <v>347</v>
      </c>
      <c r="B75" s="1357" t="s">
        <v>409</v>
      </c>
      <c r="C75" s="1358"/>
      <c r="D75" s="1346" t="s">
        <v>410</v>
      </c>
      <c r="E75" s="1347"/>
      <c r="F75" s="1347"/>
      <c r="G75" s="1347"/>
      <c r="H75" s="1347"/>
      <c r="I75" s="1347"/>
      <c r="J75" s="1348"/>
    </row>
    <row r="76" spans="1:10" s="16" customFormat="1" ht="57" customHeight="1">
      <c r="A76" s="355" t="s">
        <v>349</v>
      </c>
      <c r="B76" s="1362" t="s">
        <v>387</v>
      </c>
      <c r="C76" s="1362"/>
      <c r="D76" s="1363" t="s">
        <v>357</v>
      </c>
      <c r="E76" s="1363"/>
      <c r="F76" s="1363"/>
      <c r="G76" s="1363"/>
      <c r="H76" s="1363"/>
      <c r="I76" s="1363"/>
      <c r="J76" s="1364"/>
    </row>
    <row r="77" spans="1:10" s="16" customFormat="1" ht="62.25" customHeight="1">
      <c r="A77" s="365" t="s">
        <v>84</v>
      </c>
      <c r="B77" s="1289" t="s">
        <v>361</v>
      </c>
      <c r="C77" s="1290"/>
      <c r="D77" s="1347" t="s">
        <v>362</v>
      </c>
      <c r="E77" s="1347"/>
      <c r="F77" s="1347"/>
      <c r="G77" s="1347"/>
      <c r="H77" s="1347"/>
      <c r="I77" s="1347"/>
      <c r="J77" s="1348"/>
    </row>
    <row r="78" spans="1:10" s="16" customFormat="1" ht="36.6" customHeight="1">
      <c r="A78" s="355" t="s">
        <v>407</v>
      </c>
      <c r="B78" s="1294" t="s">
        <v>255</v>
      </c>
      <c r="C78" s="1294"/>
      <c r="D78" s="1346" t="s">
        <v>390</v>
      </c>
      <c r="E78" s="1347"/>
      <c r="F78" s="1347"/>
      <c r="G78" s="1347"/>
      <c r="H78" s="1347"/>
      <c r="I78" s="1347"/>
      <c r="J78" s="1348"/>
    </row>
    <row r="79" spans="1:10" s="16" customFormat="1" ht="13.15" customHeight="1">
      <c r="A79" s="365"/>
      <c r="B79" s="177"/>
      <c r="C79" s="177"/>
      <c r="D79" s="337"/>
      <c r="E79" s="337"/>
      <c r="F79" s="337"/>
      <c r="G79" s="337"/>
      <c r="H79" s="337"/>
      <c r="I79" s="337"/>
      <c r="J79" s="366"/>
    </row>
    <row r="80" spans="1:10" s="16" customFormat="1" ht="15" customHeight="1">
      <c r="A80" s="1304" t="s">
        <v>266</v>
      </c>
      <c r="B80" s="1306"/>
      <c r="C80" s="1306"/>
      <c r="D80" s="1306"/>
      <c r="E80" s="1306"/>
      <c r="F80" s="1306"/>
      <c r="G80" s="1306"/>
      <c r="H80" s="1306"/>
      <c r="I80" s="1306"/>
      <c r="J80" s="1415"/>
    </row>
    <row r="81" spans="1:10" s="16" customFormat="1" ht="48.75" customHeight="1">
      <c r="A81" s="355">
        <v>1</v>
      </c>
      <c r="B81" s="1294" t="s">
        <v>421</v>
      </c>
      <c r="C81" s="1294"/>
      <c r="D81" s="1291" t="s">
        <v>231</v>
      </c>
      <c r="E81" s="1292"/>
      <c r="F81" s="1292"/>
      <c r="G81" s="1292"/>
      <c r="H81" s="1292"/>
      <c r="I81" s="1292"/>
      <c r="J81" s="1293"/>
    </row>
    <row r="82" spans="1:10" s="16" customFormat="1" ht="75" customHeight="1">
      <c r="A82" s="355" t="s">
        <v>39</v>
      </c>
      <c r="B82" s="1294" t="s">
        <v>233</v>
      </c>
      <c r="C82" s="1294"/>
      <c r="D82" s="1295" t="s">
        <v>293</v>
      </c>
      <c r="E82" s="1295"/>
      <c r="F82" s="1295"/>
      <c r="G82" s="1295"/>
      <c r="H82" s="1295"/>
      <c r="I82" s="1295"/>
      <c r="J82" s="1296"/>
    </row>
    <row r="83" spans="1:10" s="16" customFormat="1" ht="83.25" customHeight="1">
      <c r="A83" s="355">
        <v>2</v>
      </c>
      <c r="B83" s="1294" t="s">
        <v>235</v>
      </c>
      <c r="C83" s="1294"/>
      <c r="D83" s="1295" t="s">
        <v>267</v>
      </c>
      <c r="E83" s="1295"/>
      <c r="F83" s="1295"/>
      <c r="G83" s="1295"/>
      <c r="H83" s="1295"/>
      <c r="I83" s="1295"/>
      <c r="J83" s="1296"/>
    </row>
    <row r="84" spans="1:10" s="16" customFormat="1" ht="61.15" customHeight="1">
      <c r="A84" s="355" t="s">
        <v>84</v>
      </c>
      <c r="B84" s="1294" t="s">
        <v>236</v>
      </c>
      <c r="C84" s="1294"/>
      <c r="D84" s="1291" t="s">
        <v>268</v>
      </c>
      <c r="E84" s="1292"/>
      <c r="F84" s="1292"/>
      <c r="G84" s="1292"/>
      <c r="H84" s="1292"/>
      <c r="I84" s="1292"/>
      <c r="J84" s="1293"/>
    </row>
    <row r="85" spans="1:10" s="16" customFormat="1" ht="45.6" customHeight="1">
      <c r="A85" s="355" t="s">
        <v>43</v>
      </c>
      <c r="B85" s="1473" t="s">
        <v>239</v>
      </c>
      <c r="C85" s="1473"/>
      <c r="D85" s="1474" t="s">
        <v>269</v>
      </c>
      <c r="E85" s="1474"/>
      <c r="F85" s="1474"/>
      <c r="G85" s="1474"/>
      <c r="H85" s="1474"/>
      <c r="I85" s="1474"/>
      <c r="J85" s="1475"/>
    </row>
    <row r="86" spans="1:10" s="16" customFormat="1" ht="33" customHeight="1">
      <c r="A86" s="355" t="s">
        <v>240</v>
      </c>
      <c r="B86" s="1294" t="s">
        <v>241</v>
      </c>
      <c r="C86" s="1294"/>
      <c r="D86" s="1295" t="s">
        <v>270</v>
      </c>
      <c r="E86" s="1295"/>
      <c r="F86" s="1295"/>
      <c r="G86" s="1295"/>
      <c r="H86" s="1295"/>
      <c r="I86" s="1295"/>
      <c r="J86" s="1296"/>
    </row>
    <row r="87" spans="1:10" s="16" customFormat="1" ht="39" customHeight="1" thickBot="1">
      <c r="A87" s="356" t="s">
        <v>45</v>
      </c>
      <c r="B87" s="1342" t="s">
        <v>243</v>
      </c>
      <c r="C87" s="1342"/>
      <c r="D87" s="1382" t="s">
        <v>244</v>
      </c>
      <c r="E87" s="1382"/>
      <c r="F87" s="1382"/>
      <c r="G87" s="1382"/>
      <c r="H87" s="1382"/>
      <c r="I87" s="1382"/>
      <c r="J87" s="1383"/>
    </row>
    <row r="88" spans="1:10" s="16" customFormat="1" ht="19.899999999999999" customHeight="1" thickTop="1">
      <c r="A88" s="509"/>
      <c r="B88" s="509"/>
      <c r="C88" s="509"/>
      <c r="D88" s="511"/>
      <c r="E88" s="511"/>
      <c r="F88" s="511"/>
      <c r="G88" s="511"/>
      <c r="H88" s="511"/>
      <c r="I88" s="511"/>
      <c r="J88" s="511"/>
    </row>
    <row r="89" spans="1:10" s="16" customFormat="1" ht="19.899999999999999" customHeight="1" thickBot="1">
      <c r="A89" s="367"/>
      <c r="B89" s="342"/>
      <c r="C89" s="342"/>
      <c r="D89" s="344"/>
      <c r="E89" s="344"/>
      <c r="F89" s="344"/>
      <c r="G89" s="344"/>
      <c r="H89" s="344"/>
      <c r="I89" s="344"/>
      <c r="J89" s="368"/>
    </row>
    <row r="90" spans="1:10" s="16" customFormat="1" ht="283.14999999999998" customHeight="1" thickTop="1">
      <c r="A90" s="357" t="s">
        <v>47</v>
      </c>
      <c r="B90" s="1352" t="s">
        <v>245</v>
      </c>
      <c r="C90" s="1352"/>
      <c r="D90" s="1374" t="s">
        <v>378</v>
      </c>
      <c r="E90" s="1375"/>
      <c r="F90" s="1375"/>
      <c r="G90" s="1375"/>
      <c r="H90" s="1375"/>
      <c r="I90" s="1375"/>
      <c r="J90" s="1376"/>
    </row>
    <row r="91" spans="1:10" s="16" customFormat="1" ht="64.150000000000006" customHeight="1">
      <c r="A91" s="355">
        <v>3</v>
      </c>
      <c r="B91" s="1294" t="s">
        <v>246</v>
      </c>
      <c r="C91" s="1294"/>
      <c r="D91" s="1295" t="s">
        <v>271</v>
      </c>
      <c r="E91" s="1295"/>
      <c r="F91" s="1295"/>
      <c r="G91" s="1295"/>
      <c r="H91" s="1295"/>
      <c r="I91" s="1295"/>
      <c r="J91" s="1296"/>
    </row>
    <row r="92" spans="1:10" s="16" customFormat="1" ht="54" customHeight="1">
      <c r="A92" s="355" t="s">
        <v>54</v>
      </c>
      <c r="B92" s="1294" t="s">
        <v>248</v>
      </c>
      <c r="C92" s="1294"/>
      <c r="D92" s="1295" t="s">
        <v>294</v>
      </c>
      <c r="E92" s="1295"/>
      <c r="F92" s="1295"/>
      <c r="G92" s="1295"/>
      <c r="H92" s="1295"/>
      <c r="I92" s="1295"/>
      <c r="J92" s="1296"/>
    </row>
    <row r="93" spans="1:10" s="16" customFormat="1" ht="55.15" customHeight="1">
      <c r="A93" s="355" t="s">
        <v>95</v>
      </c>
      <c r="B93" s="1294" t="s">
        <v>250</v>
      </c>
      <c r="C93" s="1294"/>
      <c r="D93" s="1291" t="s">
        <v>272</v>
      </c>
      <c r="E93" s="1292"/>
      <c r="F93" s="1292"/>
      <c r="G93" s="1292"/>
      <c r="H93" s="1292"/>
      <c r="I93" s="1292"/>
      <c r="J93" s="1293"/>
    </row>
    <row r="94" spans="1:10" s="16" customFormat="1" ht="71.45" customHeight="1">
      <c r="A94" s="358" t="s">
        <v>97</v>
      </c>
      <c r="B94" s="1356" t="s">
        <v>273</v>
      </c>
      <c r="C94" s="1356"/>
      <c r="D94" s="1470" t="s">
        <v>274</v>
      </c>
      <c r="E94" s="1471"/>
      <c r="F94" s="1471"/>
      <c r="G94" s="1471"/>
      <c r="H94" s="1471"/>
      <c r="I94" s="1471"/>
      <c r="J94" s="1472"/>
    </row>
    <row r="95" spans="1:10" s="16" customFormat="1" ht="96.6" customHeight="1">
      <c r="A95" s="355">
        <v>4</v>
      </c>
      <c r="B95" s="1294" t="s">
        <v>252</v>
      </c>
      <c r="C95" s="1294"/>
      <c r="D95" s="1295" t="s">
        <v>275</v>
      </c>
      <c r="E95" s="1295"/>
      <c r="F95" s="1295"/>
      <c r="G95" s="1295"/>
      <c r="H95" s="1295"/>
      <c r="I95" s="1295"/>
      <c r="J95" s="1296"/>
    </row>
    <row r="96" spans="1:10" s="16" customFormat="1" ht="33.6" customHeight="1">
      <c r="A96" s="355">
        <v>5</v>
      </c>
      <c r="B96" s="1294" t="s">
        <v>254</v>
      </c>
      <c r="C96" s="1294"/>
      <c r="D96" s="1291" t="s">
        <v>276</v>
      </c>
      <c r="E96" s="1292"/>
      <c r="F96" s="1292"/>
      <c r="G96" s="1292"/>
      <c r="H96" s="1292"/>
      <c r="I96" s="1292"/>
      <c r="J96" s="1293"/>
    </row>
    <row r="97" spans="1:11" s="16" customFormat="1" ht="36.75" customHeight="1">
      <c r="A97" s="355">
        <v>6</v>
      </c>
      <c r="B97" s="1294" t="s">
        <v>277</v>
      </c>
      <c r="C97" s="1294"/>
      <c r="D97" s="1291" t="s">
        <v>278</v>
      </c>
      <c r="E97" s="1292"/>
      <c r="F97" s="1292"/>
      <c r="G97" s="1292"/>
      <c r="H97" s="1292"/>
      <c r="I97" s="1292"/>
      <c r="J97" s="1293"/>
    </row>
    <row r="98" spans="1:11" s="16" customFormat="1" ht="70.150000000000006" customHeight="1">
      <c r="A98" s="355">
        <v>7</v>
      </c>
      <c r="B98" s="1294" t="s">
        <v>391</v>
      </c>
      <c r="C98" s="1294"/>
      <c r="D98" s="1346" t="s">
        <v>393</v>
      </c>
      <c r="E98" s="1347"/>
      <c r="F98" s="1347"/>
      <c r="G98" s="1347"/>
      <c r="H98" s="1347"/>
      <c r="I98" s="1347"/>
      <c r="J98" s="1348"/>
    </row>
    <row r="99" spans="1:11" s="16" customFormat="1" ht="19.149999999999999" customHeight="1" thickBot="1">
      <c r="A99" s="356">
        <v>8</v>
      </c>
      <c r="B99" s="1342" t="s">
        <v>279</v>
      </c>
      <c r="C99" s="1342"/>
      <c r="D99" s="1349" t="s">
        <v>280</v>
      </c>
      <c r="E99" s="1350"/>
      <c r="F99" s="1350"/>
      <c r="G99" s="1350"/>
      <c r="H99" s="1350"/>
      <c r="I99" s="1350"/>
      <c r="J99" s="1351"/>
      <c r="K99" s="17"/>
    </row>
    <row r="100" spans="1:11" s="16" customFormat="1" ht="23.45" customHeight="1" thickTop="1">
      <c r="A100" s="509"/>
      <c r="B100" s="509"/>
      <c r="C100" s="509"/>
      <c r="D100" s="511"/>
      <c r="E100" s="511"/>
      <c r="F100" s="511"/>
      <c r="G100" s="511"/>
      <c r="H100" s="511"/>
      <c r="I100" s="511"/>
      <c r="J100" s="511"/>
      <c r="K100" s="17"/>
    </row>
    <row r="101" spans="1:11" s="16" customFormat="1" ht="15" customHeight="1" thickBot="1">
      <c r="A101" s="367"/>
      <c r="B101" s="367"/>
      <c r="C101" s="367"/>
      <c r="D101" s="368"/>
      <c r="E101" s="368"/>
      <c r="F101" s="368"/>
      <c r="G101" s="368"/>
      <c r="H101" s="368"/>
      <c r="I101" s="368"/>
      <c r="J101" s="368"/>
      <c r="K101" s="17"/>
    </row>
    <row r="102" spans="1:11" s="16" customFormat="1" ht="43.15" customHeight="1" thickTop="1">
      <c r="A102" s="357">
        <v>9</v>
      </c>
      <c r="B102" s="1352" t="s">
        <v>255</v>
      </c>
      <c r="C102" s="1352"/>
      <c r="D102" s="1370" t="s">
        <v>318</v>
      </c>
      <c r="E102" s="1370"/>
      <c r="F102" s="1370"/>
      <c r="G102" s="1370"/>
      <c r="H102" s="1370"/>
      <c r="I102" s="1370"/>
      <c r="J102" s="1371"/>
    </row>
    <row r="103" spans="1:11" s="16" customFormat="1" ht="112.15" customHeight="1">
      <c r="A103" s="355" t="s">
        <v>144</v>
      </c>
      <c r="B103" s="1294" t="s">
        <v>256</v>
      </c>
      <c r="C103" s="1294"/>
      <c r="D103" s="1295" t="s">
        <v>289</v>
      </c>
      <c r="E103" s="1295"/>
      <c r="F103" s="1295"/>
      <c r="G103" s="1295"/>
      <c r="H103" s="1295"/>
      <c r="I103" s="1295"/>
      <c r="J103" s="1296"/>
    </row>
    <row r="104" spans="1:11" s="16" customFormat="1" ht="69" customHeight="1">
      <c r="A104" s="355" t="s">
        <v>145</v>
      </c>
      <c r="B104" s="1294" t="s">
        <v>258</v>
      </c>
      <c r="C104" s="1294"/>
      <c r="D104" s="1291" t="s">
        <v>257</v>
      </c>
      <c r="E104" s="1292"/>
      <c r="F104" s="1292"/>
      <c r="G104" s="1292"/>
      <c r="H104" s="1292"/>
      <c r="I104" s="1292"/>
      <c r="J104" s="1293"/>
    </row>
    <row r="105" spans="1:11" s="16" customFormat="1" ht="43.15" customHeight="1">
      <c r="A105" s="358">
        <v>10</v>
      </c>
      <c r="B105" s="1356" t="s">
        <v>260</v>
      </c>
      <c r="C105" s="1356"/>
      <c r="D105" s="1372" t="s">
        <v>281</v>
      </c>
      <c r="E105" s="1372"/>
      <c r="F105" s="1372"/>
      <c r="G105" s="1372"/>
      <c r="H105" s="1372"/>
      <c r="I105" s="1372"/>
      <c r="J105" s="1373"/>
    </row>
    <row r="106" spans="1:11" s="16" customFormat="1" ht="148.9" customHeight="1">
      <c r="A106" s="355">
        <v>11</v>
      </c>
      <c r="B106" s="1294" t="s">
        <v>190</v>
      </c>
      <c r="C106" s="1294"/>
      <c r="D106" s="1295" t="s">
        <v>295</v>
      </c>
      <c r="E106" s="1295"/>
      <c r="F106" s="1295"/>
      <c r="G106" s="1295"/>
      <c r="H106" s="1295"/>
      <c r="I106" s="1295"/>
      <c r="J106" s="1296"/>
    </row>
    <row r="107" spans="1:11" s="16" customFormat="1" ht="18" customHeight="1">
      <c r="A107" s="355" t="s">
        <v>197</v>
      </c>
      <c r="B107" s="1294" t="s">
        <v>282</v>
      </c>
      <c r="C107" s="1294"/>
      <c r="D107" s="1295" t="s">
        <v>283</v>
      </c>
      <c r="E107" s="1295"/>
      <c r="F107" s="1295"/>
      <c r="G107" s="1295"/>
      <c r="H107" s="1295"/>
      <c r="I107" s="1295"/>
      <c r="J107" s="1296"/>
    </row>
    <row r="108" spans="1:11" s="16" customFormat="1" ht="62.45" customHeight="1">
      <c r="A108" s="355">
        <v>12</v>
      </c>
      <c r="B108" s="1294" t="s">
        <v>261</v>
      </c>
      <c r="C108" s="1294"/>
      <c r="D108" s="1291" t="s">
        <v>394</v>
      </c>
      <c r="E108" s="1292"/>
      <c r="F108" s="1292"/>
      <c r="G108" s="1292"/>
      <c r="H108" s="1292"/>
      <c r="I108" s="1292"/>
      <c r="J108" s="1293"/>
    </row>
    <row r="109" spans="1:11" s="16" customFormat="1" ht="61.15" customHeight="1">
      <c r="A109" s="355">
        <v>13</v>
      </c>
      <c r="B109" s="1294" t="s">
        <v>263</v>
      </c>
      <c r="C109" s="1294"/>
      <c r="D109" s="1346" t="s">
        <v>395</v>
      </c>
      <c r="E109" s="1347"/>
      <c r="F109" s="1347"/>
      <c r="G109" s="1347"/>
      <c r="H109" s="1347"/>
      <c r="I109" s="1347"/>
      <c r="J109" s="1348"/>
    </row>
    <row r="110" spans="1:11" s="16" customFormat="1" ht="222" customHeight="1" thickBot="1">
      <c r="A110" s="356" t="s">
        <v>284</v>
      </c>
      <c r="B110" s="1342" t="s">
        <v>264</v>
      </c>
      <c r="C110" s="1342"/>
      <c r="D110" s="1382" t="s">
        <v>291</v>
      </c>
      <c r="E110" s="1382"/>
      <c r="F110" s="1382"/>
      <c r="G110" s="1382"/>
      <c r="H110" s="1382"/>
      <c r="I110" s="1382"/>
      <c r="J110" s="1383"/>
    </row>
    <row r="111" spans="1:11" s="16" customFormat="1" ht="19.899999999999999" customHeight="1" thickTop="1">
      <c r="A111" s="342"/>
      <c r="B111" s="342"/>
      <c r="C111" s="342"/>
      <c r="D111" s="344"/>
      <c r="E111" s="344"/>
      <c r="F111" s="344"/>
      <c r="G111" s="344"/>
      <c r="H111" s="344"/>
      <c r="I111" s="344"/>
      <c r="J111" s="344"/>
    </row>
    <row r="112" spans="1:11" s="16" customFormat="1" ht="19.899999999999999" customHeight="1" thickBot="1">
      <c r="A112" s="367"/>
      <c r="B112" s="367"/>
      <c r="C112" s="367"/>
      <c r="D112" s="368"/>
      <c r="E112" s="368"/>
      <c r="F112" s="368"/>
      <c r="G112" s="368"/>
      <c r="H112" s="368"/>
      <c r="I112" s="368"/>
      <c r="J112" s="368"/>
    </row>
    <row r="113" spans="1:10" s="16" customFormat="1" ht="174" customHeight="1" thickTop="1">
      <c r="A113" s="357">
        <v>14</v>
      </c>
      <c r="B113" s="1352" t="s">
        <v>265</v>
      </c>
      <c r="C113" s="1352"/>
      <c r="D113" s="1353" t="s">
        <v>292</v>
      </c>
      <c r="E113" s="1354"/>
      <c r="F113" s="1354"/>
      <c r="G113" s="1354"/>
      <c r="H113" s="1354"/>
      <c r="I113" s="1354"/>
      <c r="J113" s="1355"/>
    </row>
    <row r="114" spans="1:10" s="16" customFormat="1" ht="12.6" customHeight="1">
      <c r="A114" s="369"/>
      <c r="B114" s="340"/>
      <c r="C114" s="340"/>
      <c r="D114" s="321"/>
      <c r="E114" s="321"/>
      <c r="F114" s="321"/>
      <c r="G114" s="321"/>
      <c r="H114" s="321"/>
      <c r="I114" s="321"/>
      <c r="J114" s="370"/>
    </row>
    <row r="115" spans="1:10" s="16" customFormat="1" ht="16.899999999999999" customHeight="1">
      <c r="A115" s="1365" t="s">
        <v>392</v>
      </c>
      <c r="B115" s="1366"/>
      <c r="C115" s="1366"/>
      <c r="D115" s="1366"/>
      <c r="E115" s="1366"/>
      <c r="F115" s="1366"/>
      <c r="G115" s="1366"/>
      <c r="H115" s="1366"/>
      <c r="I115" s="1366"/>
      <c r="J115" s="1367"/>
    </row>
    <row r="116" spans="1:10" s="16" customFormat="1" ht="69.599999999999994" customHeight="1">
      <c r="A116" s="355" t="s">
        <v>37</v>
      </c>
      <c r="B116" s="1289" t="s">
        <v>422</v>
      </c>
      <c r="C116" s="1290"/>
      <c r="D116" s="1291" t="s">
        <v>416</v>
      </c>
      <c r="E116" s="1292"/>
      <c r="F116" s="1292"/>
      <c r="G116" s="1292"/>
      <c r="H116" s="1292"/>
      <c r="I116" s="1292"/>
      <c r="J116" s="1293"/>
    </row>
    <row r="117" spans="1:10" s="16" customFormat="1" ht="35.450000000000003" customHeight="1">
      <c r="A117" s="355" t="s">
        <v>39</v>
      </c>
      <c r="B117" s="1289" t="s">
        <v>414</v>
      </c>
      <c r="C117" s="1290"/>
      <c r="D117" s="1291" t="s">
        <v>417</v>
      </c>
      <c r="E117" s="1292"/>
      <c r="F117" s="1292"/>
      <c r="G117" s="1292"/>
      <c r="H117" s="1292"/>
      <c r="I117" s="1292"/>
      <c r="J117" s="1293"/>
    </row>
    <row r="118" spans="1:10" s="16" customFormat="1" ht="92.45" customHeight="1">
      <c r="A118" s="355" t="s">
        <v>345</v>
      </c>
      <c r="B118" s="1289" t="s">
        <v>415</v>
      </c>
      <c r="C118" s="1290"/>
      <c r="D118" s="1291" t="s">
        <v>418</v>
      </c>
      <c r="E118" s="1292"/>
      <c r="F118" s="1292"/>
      <c r="G118" s="1292"/>
      <c r="H118" s="1292"/>
      <c r="I118" s="1292"/>
      <c r="J118" s="1293"/>
    </row>
    <row r="119" spans="1:10" s="16" customFormat="1" ht="82.15" customHeight="1">
      <c r="A119" s="355" t="s">
        <v>84</v>
      </c>
      <c r="B119" s="1289" t="s">
        <v>423</v>
      </c>
      <c r="C119" s="1290"/>
      <c r="D119" s="1291" t="s">
        <v>396</v>
      </c>
      <c r="E119" s="1292"/>
      <c r="F119" s="1292"/>
      <c r="G119" s="1292"/>
      <c r="H119" s="1292"/>
      <c r="I119" s="1292"/>
      <c r="J119" s="1293"/>
    </row>
    <row r="120" spans="1:10" s="16" customFormat="1" ht="53.45" customHeight="1">
      <c r="A120" s="355" t="s">
        <v>54</v>
      </c>
      <c r="B120" s="1289" t="s">
        <v>424</v>
      </c>
      <c r="C120" s="1290"/>
      <c r="D120" s="1291" t="s">
        <v>412</v>
      </c>
      <c r="E120" s="1292"/>
      <c r="F120" s="1292"/>
      <c r="G120" s="1292"/>
      <c r="H120" s="1292"/>
      <c r="I120" s="1292"/>
      <c r="J120" s="1293"/>
    </row>
    <row r="121" spans="1:10" s="16" customFormat="1" ht="42" customHeight="1">
      <c r="A121" s="355" t="s">
        <v>95</v>
      </c>
      <c r="B121" s="1289" t="s">
        <v>411</v>
      </c>
      <c r="C121" s="1290"/>
      <c r="D121" s="1291" t="s">
        <v>413</v>
      </c>
      <c r="E121" s="1292"/>
      <c r="F121" s="1292"/>
      <c r="G121" s="1292"/>
      <c r="H121" s="1292"/>
      <c r="I121" s="1292"/>
      <c r="J121" s="1293"/>
    </row>
    <row r="122" spans="1:10" s="16" customFormat="1" ht="13.15" customHeight="1">
      <c r="A122" s="369"/>
      <c r="B122" s="1290"/>
      <c r="C122" s="1289"/>
      <c r="D122" s="321"/>
      <c r="E122" s="321"/>
      <c r="F122" s="321"/>
      <c r="G122" s="321"/>
      <c r="H122" s="321"/>
      <c r="I122" s="321"/>
      <c r="J122" s="370"/>
    </row>
    <row r="123" spans="1:10" s="16" customFormat="1" ht="15" customHeight="1">
      <c r="A123" s="1365" t="s">
        <v>397</v>
      </c>
      <c r="B123" s="1366"/>
      <c r="C123" s="1366"/>
      <c r="D123" s="1366"/>
      <c r="E123" s="1366"/>
      <c r="F123" s="1366"/>
      <c r="G123" s="1366"/>
      <c r="H123" s="1366"/>
      <c r="I123" s="1366"/>
      <c r="J123" s="1367"/>
    </row>
    <row r="124" spans="1:10" s="16" customFormat="1" ht="105.6" customHeight="1">
      <c r="A124" s="355" t="s">
        <v>406</v>
      </c>
      <c r="B124" s="1294" t="s">
        <v>91</v>
      </c>
      <c r="C124" s="1294"/>
      <c r="D124" s="1368" t="s">
        <v>358</v>
      </c>
      <c r="E124" s="1368"/>
      <c r="F124" s="1368"/>
      <c r="G124" s="1368"/>
      <c r="H124" s="1368"/>
      <c r="I124" s="1368"/>
      <c r="J124" s="1369"/>
    </row>
    <row r="125" spans="1:10" s="16" customFormat="1" ht="52.15" customHeight="1" thickBot="1">
      <c r="A125" s="356" t="s">
        <v>405</v>
      </c>
      <c r="B125" s="1342" t="s">
        <v>356</v>
      </c>
      <c r="C125" s="1342"/>
      <c r="D125" s="1343" t="s">
        <v>359</v>
      </c>
      <c r="E125" s="1344"/>
      <c r="F125" s="1344"/>
      <c r="G125" s="1344"/>
      <c r="H125" s="1344"/>
      <c r="I125" s="1344"/>
      <c r="J125" s="1345"/>
    </row>
    <row r="126" spans="1:10" s="16" customFormat="1" ht="46.15" customHeight="1" thickTop="1">
      <c r="A126" s="509"/>
      <c r="B126" s="509"/>
      <c r="C126" s="509"/>
      <c r="D126" s="510"/>
      <c r="E126" s="510"/>
      <c r="F126" s="510"/>
      <c r="G126" s="510"/>
      <c r="H126" s="510"/>
      <c r="I126" s="510"/>
      <c r="J126" s="510"/>
    </row>
    <row r="127" spans="1:10" s="16" customFormat="1" ht="14.45" customHeight="1" thickBot="1">
      <c r="A127" s="367"/>
      <c r="B127" s="367"/>
      <c r="C127" s="367"/>
      <c r="D127" s="371"/>
      <c r="E127" s="371"/>
      <c r="F127" s="371"/>
      <c r="G127" s="371"/>
      <c r="H127" s="371"/>
      <c r="I127" s="371"/>
      <c r="J127" s="371"/>
    </row>
    <row r="128" spans="1:10" s="16" customFormat="1" ht="131.44999999999999" customHeight="1" thickTop="1">
      <c r="A128" s="357" t="s">
        <v>407</v>
      </c>
      <c r="B128" s="1352" t="s">
        <v>208</v>
      </c>
      <c r="C128" s="1352"/>
      <c r="D128" s="1353" t="s">
        <v>398</v>
      </c>
      <c r="E128" s="1354"/>
      <c r="F128" s="1354"/>
      <c r="G128" s="1354"/>
      <c r="H128" s="1354"/>
      <c r="I128" s="1354"/>
      <c r="J128" s="1355"/>
    </row>
    <row r="129" spans="1:12" s="16" customFormat="1" ht="66.599999999999994" customHeight="1">
      <c r="A129" s="355" t="s">
        <v>408</v>
      </c>
      <c r="B129" s="1294" t="s">
        <v>350</v>
      </c>
      <c r="C129" s="1294"/>
      <c r="D129" s="1346" t="s">
        <v>360</v>
      </c>
      <c r="E129" s="1347"/>
      <c r="F129" s="1347"/>
      <c r="G129" s="1347"/>
      <c r="H129" s="1347"/>
      <c r="I129" s="1347"/>
      <c r="J129" s="1348"/>
    </row>
    <row r="130" spans="1:12" s="16" customFormat="1" ht="7.9" customHeight="1">
      <c r="A130" s="374"/>
      <c r="B130" s="342"/>
      <c r="C130" s="342"/>
      <c r="D130" s="342"/>
      <c r="E130" s="342"/>
      <c r="F130" s="342"/>
      <c r="G130" s="290"/>
      <c r="H130" s="290"/>
      <c r="I130" s="342"/>
      <c r="J130" s="375"/>
    </row>
    <row r="131" spans="1:12" s="16" customFormat="1" ht="13.15" customHeight="1">
      <c r="A131" s="1483" t="s">
        <v>11</v>
      </c>
      <c r="B131" s="1484"/>
      <c r="C131" s="1484"/>
      <c r="D131" s="1484"/>
      <c r="E131" s="1484"/>
      <c r="F131" s="1484"/>
      <c r="G131" s="1484"/>
      <c r="H131" s="1484"/>
      <c r="I131" s="1484"/>
      <c r="J131" s="1485"/>
    </row>
    <row r="132" spans="1:12" s="16" customFormat="1" ht="13.9" customHeight="1">
      <c r="A132" s="1384" t="s">
        <v>12</v>
      </c>
      <c r="B132" s="1372"/>
      <c r="C132" s="1372"/>
      <c r="D132" s="1372"/>
      <c r="E132" s="1372"/>
      <c r="F132" s="1372"/>
      <c r="G132" s="1372"/>
      <c r="H132" s="1372"/>
      <c r="I132" s="1372"/>
      <c r="J132" s="1373"/>
    </row>
    <row r="133" spans="1:12" s="16" customFormat="1" ht="13.9" customHeight="1">
      <c r="A133" s="1385" t="s">
        <v>374</v>
      </c>
      <c r="B133" s="1386"/>
      <c r="C133" s="1386"/>
      <c r="D133" s="1386"/>
      <c r="E133" s="1386"/>
      <c r="F133" s="1386"/>
      <c r="G133" s="1386"/>
      <c r="H133" s="1386"/>
      <c r="I133" s="1386"/>
      <c r="J133" s="1387"/>
    </row>
    <row r="134" spans="1:12" s="16" customFormat="1" ht="12" customHeight="1">
      <c r="A134" s="1384" t="s">
        <v>13</v>
      </c>
      <c r="B134" s="1372"/>
      <c r="C134" s="1372"/>
      <c r="D134" s="1372"/>
      <c r="E134" s="1372"/>
      <c r="F134" s="1372"/>
      <c r="G134" s="1372"/>
      <c r="H134" s="1372"/>
      <c r="I134" s="1372"/>
      <c r="J134" s="1373"/>
    </row>
    <row r="135" spans="1:12" s="16" customFormat="1" ht="13.9" customHeight="1">
      <c r="A135" s="1339" t="s">
        <v>425</v>
      </c>
      <c r="B135" s="1340"/>
      <c r="C135" s="1340"/>
      <c r="D135" s="1340"/>
      <c r="E135" s="1340"/>
      <c r="F135" s="1340"/>
      <c r="G135" s="1340"/>
      <c r="H135" s="1340"/>
      <c r="I135" s="1340"/>
      <c r="J135" s="1341"/>
    </row>
    <row r="136" spans="1:12" s="16" customFormat="1" ht="13.9" customHeight="1">
      <c r="A136" s="1339" t="s">
        <v>14</v>
      </c>
      <c r="B136" s="1340"/>
      <c r="C136" s="1340"/>
      <c r="D136" s="1340"/>
      <c r="E136" s="1340"/>
      <c r="F136" s="1340"/>
      <c r="G136" s="1340"/>
      <c r="H136" s="1340"/>
      <c r="I136" s="1340"/>
      <c r="J136" s="1341"/>
    </row>
    <row r="137" spans="1:12" s="16" customFormat="1" ht="12" customHeight="1">
      <c r="A137" s="1380" t="s">
        <v>355</v>
      </c>
      <c r="B137" s="1326" t="s">
        <v>285</v>
      </c>
      <c r="C137" s="1326"/>
      <c r="D137" s="1326"/>
      <c r="E137" s="1326"/>
      <c r="F137" s="1326"/>
      <c r="G137" s="178" t="s">
        <v>15</v>
      </c>
      <c r="H137" s="178" t="s">
        <v>16</v>
      </c>
      <c r="I137" s="334" t="s">
        <v>17</v>
      </c>
      <c r="J137" s="376" t="s">
        <v>19</v>
      </c>
    </row>
    <row r="138" spans="1:12" s="16" customFormat="1" ht="13.9" customHeight="1">
      <c r="A138" s="1381"/>
      <c r="B138" s="1326"/>
      <c r="C138" s="1326"/>
      <c r="D138" s="1326"/>
      <c r="E138" s="1326"/>
      <c r="F138" s="1326"/>
      <c r="G138" s="312" t="s">
        <v>287</v>
      </c>
      <c r="H138" s="312" t="s">
        <v>288</v>
      </c>
      <c r="I138" s="313" t="s">
        <v>18</v>
      </c>
      <c r="J138" s="377" t="s">
        <v>20</v>
      </c>
    </row>
    <row r="139" spans="1:12" s="16" customFormat="1" ht="12.6" customHeight="1">
      <c r="A139" s="378"/>
      <c r="B139" s="1316" t="s">
        <v>205</v>
      </c>
      <c r="C139" s="1317"/>
      <c r="D139" s="1317"/>
      <c r="E139" s="1317"/>
      <c r="F139" s="1318"/>
      <c r="G139" s="179"/>
      <c r="H139" s="179"/>
      <c r="I139" s="180"/>
      <c r="J139" s="379"/>
    </row>
    <row r="140" spans="1:12" s="16" customFormat="1" ht="12.6" customHeight="1">
      <c r="A140" s="380">
        <v>1</v>
      </c>
      <c r="B140" s="1322" t="s">
        <v>36</v>
      </c>
      <c r="C140" s="1322"/>
      <c r="D140" s="1322"/>
      <c r="E140" s="1322"/>
      <c r="F140" s="1322"/>
      <c r="G140" s="181"/>
      <c r="H140" s="182"/>
      <c r="I140" s="183"/>
      <c r="J140" s="381">
        <f>SUM(J141:J141)</f>
        <v>3262.5880000000002</v>
      </c>
    </row>
    <row r="141" spans="1:12" s="16" customFormat="1" ht="13.9" customHeight="1">
      <c r="A141" s="382" t="s">
        <v>37</v>
      </c>
      <c r="B141" s="1497" t="s">
        <v>40</v>
      </c>
      <c r="C141" s="1497"/>
      <c r="D141" s="1497"/>
      <c r="E141" s="1497"/>
      <c r="F141" s="1497"/>
      <c r="G141" s="286">
        <v>598.64</v>
      </c>
      <c r="H141" s="310" t="s">
        <v>92</v>
      </c>
      <c r="I141" s="286">
        <v>5.45</v>
      </c>
      <c r="J141" s="383">
        <f>SUM(G141*I141)</f>
        <v>3262.5880000000002</v>
      </c>
      <c r="K141" s="109"/>
      <c r="L141" s="16">
        <f>I141*92%</f>
        <v>5.0140000000000002</v>
      </c>
    </row>
    <row r="142" spans="1:12" s="16" customFormat="1" ht="11.45" customHeight="1">
      <c r="A142" s="382"/>
      <c r="B142" s="1444"/>
      <c r="C142" s="1445"/>
      <c r="D142" s="1445"/>
      <c r="E142" s="1445"/>
      <c r="F142" s="1446"/>
      <c r="G142" s="184"/>
      <c r="H142" s="310"/>
      <c r="I142" s="188"/>
      <c r="J142" s="383"/>
    </row>
    <row r="143" spans="1:12" s="16" customFormat="1" ht="13.9" customHeight="1">
      <c r="A143" s="380">
        <v>2</v>
      </c>
      <c r="B143" s="1322" t="s">
        <v>42</v>
      </c>
      <c r="C143" s="1322"/>
      <c r="D143" s="1322"/>
      <c r="E143" s="1322"/>
      <c r="F143" s="1322"/>
      <c r="G143" s="291"/>
      <c r="H143" s="182"/>
      <c r="I143" s="189"/>
      <c r="J143" s="384">
        <f>SUM(J144:J147)</f>
        <v>64456</v>
      </c>
    </row>
    <row r="144" spans="1:12" s="16" customFormat="1" ht="13.9" customHeight="1">
      <c r="A144" s="385" t="s">
        <v>43</v>
      </c>
      <c r="B144" s="1330" t="s">
        <v>44</v>
      </c>
      <c r="C144" s="1330"/>
      <c r="D144" s="1330"/>
      <c r="E144" s="1330"/>
      <c r="F144" s="1330"/>
      <c r="G144" s="190">
        <v>6306</v>
      </c>
      <c r="H144" s="310" t="s">
        <v>50</v>
      </c>
      <c r="I144" s="191">
        <v>5.52</v>
      </c>
      <c r="J144" s="383">
        <f>ROUND(G144*I144,2)</f>
        <v>34809.120000000003</v>
      </c>
    </row>
    <row r="145" spans="1:11" s="16" customFormat="1" ht="13.9" customHeight="1">
      <c r="A145" s="385" t="s">
        <v>45</v>
      </c>
      <c r="B145" s="1330" t="s">
        <v>46</v>
      </c>
      <c r="C145" s="1330"/>
      <c r="D145" s="1330"/>
      <c r="E145" s="1330"/>
      <c r="F145" s="1330"/>
      <c r="G145" s="184">
        <f>81.92+3.22</f>
        <v>85.14</v>
      </c>
      <c r="H145" s="310" t="s">
        <v>92</v>
      </c>
      <c r="I145" s="191">
        <v>247.41</v>
      </c>
      <c r="J145" s="383">
        <f t="shared" ref="J145:J147" si="0">ROUND(G145*I145,2)</f>
        <v>21064.49</v>
      </c>
    </row>
    <row r="146" spans="1:11" s="16" customFormat="1" ht="13.9" customHeight="1">
      <c r="A146" s="385" t="s">
        <v>47</v>
      </c>
      <c r="B146" s="1330" t="s">
        <v>321</v>
      </c>
      <c r="C146" s="1330"/>
      <c r="D146" s="1330"/>
      <c r="E146" s="1330"/>
      <c r="F146" s="1330"/>
      <c r="G146" s="184">
        <v>85.14</v>
      </c>
      <c r="H146" s="310" t="s">
        <v>92</v>
      </c>
      <c r="I146" s="191">
        <v>60.2</v>
      </c>
      <c r="J146" s="383">
        <f t="shared" si="0"/>
        <v>5125.43</v>
      </c>
    </row>
    <row r="147" spans="1:11" s="16" customFormat="1" ht="13.9" customHeight="1">
      <c r="A147" s="385" t="s">
        <v>48</v>
      </c>
      <c r="B147" s="1330" t="s">
        <v>49</v>
      </c>
      <c r="C147" s="1330"/>
      <c r="D147" s="1330"/>
      <c r="E147" s="1330"/>
      <c r="F147" s="1330"/>
      <c r="G147" s="184">
        <f>32*3</f>
        <v>96</v>
      </c>
      <c r="H147" s="310" t="s">
        <v>52</v>
      </c>
      <c r="I147" s="191">
        <v>36.01</v>
      </c>
      <c r="J147" s="383">
        <f t="shared" si="0"/>
        <v>3456.96</v>
      </c>
    </row>
    <row r="148" spans="1:11" s="16" customFormat="1" ht="12" customHeight="1">
      <c r="A148" s="385"/>
      <c r="B148" s="324"/>
      <c r="C148" s="325"/>
      <c r="D148" s="325"/>
      <c r="E148" s="325"/>
      <c r="F148" s="326"/>
      <c r="G148" s="184"/>
      <c r="H148" s="310"/>
      <c r="I148" s="192"/>
      <c r="J148" s="383"/>
    </row>
    <row r="149" spans="1:11" s="16" customFormat="1" ht="13.9" customHeight="1">
      <c r="A149" s="380">
        <v>3</v>
      </c>
      <c r="B149" s="1310" t="s">
        <v>53</v>
      </c>
      <c r="C149" s="1311"/>
      <c r="D149" s="1311"/>
      <c r="E149" s="1311"/>
      <c r="F149" s="1312"/>
      <c r="G149" s="291"/>
      <c r="H149" s="189"/>
      <c r="I149" s="189"/>
      <c r="J149" s="384">
        <f>SUM(J150)</f>
        <v>3433.75</v>
      </c>
    </row>
    <row r="150" spans="1:11" s="16" customFormat="1" ht="13.9" customHeight="1">
      <c r="A150" s="385" t="s">
        <v>54</v>
      </c>
      <c r="B150" s="1331" t="s">
        <v>313</v>
      </c>
      <c r="C150" s="1332"/>
      <c r="D150" s="1332"/>
      <c r="E150" s="1332"/>
      <c r="F150" s="1333"/>
      <c r="G150" s="193">
        <f>4+64.13</f>
        <v>68.13</v>
      </c>
      <c r="H150" s="310" t="s">
        <v>96</v>
      </c>
      <c r="I150" s="194">
        <v>50.4</v>
      </c>
      <c r="J150" s="386">
        <f>ROUND(G150*I150,2)</f>
        <v>3433.75</v>
      </c>
    </row>
    <row r="151" spans="1:11" s="16" customFormat="1" ht="9" customHeight="1">
      <c r="A151" s="358"/>
      <c r="B151" s="1356"/>
      <c r="C151" s="1356"/>
      <c r="D151" s="1356"/>
      <c r="E151" s="1356"/>
      <c r="F151" s="1356"/>
      <c r="G151" s="178"/>
      <c r="H151" s="195"/>
      <c r="I151" s="195"/>
      <c r="J151" s="387"/>
    </row>
    <row r="152" spans="1:11" s="16" customFormat="1" ht="13.9" customHeight="1">
      <c r="A152" s="380">
        <v>4</v>
      </c>
      <c r="B152" s="1322" t="s">
        <v>63</v>
      </c>
      <c r="C152" s="1322"/>
      <c r="D152" s="1322"/>
      <c r="E152" s="1322"/>
      <c r="F152" s="1322"/>
      <c r="G152" s="182"/>
      <c r="H152" s="189"/>
      <c r="I152" s="189"/>
      <c r="J152" s="384">
        <f>SUM(J153:J157)</f>
        <v>42964.14</v>
      </c>
    </row>
    <row r="153" spans="1:11" s="16" customFormat="1" ht="13.9" customHeight="1">
      <c r="A153" s="355" t="s">
        <v>58</v>
      </c>
      <c r="B153" s="1497" t="s">
        <v>44</v>
      </c>
      <c r="C153" s="1497"/>
      <c r="D153" s="1497"/>
      <c r="E153" s="1497"/>
      <c r="F153" s="1497"/>
      <c r="G153" s="190">
        <f>ROUND(80*G155,2)</f>
        <v>957.6</v>
      </c>
      <c r="H153" s="310" t="s">
        <v>50</v>
      </c>
      <c r="I153" s="191">
        <v>5.52</v>
      </c>
      <c r="J153" s="388">
        <f>ROUND(G153*I153,2)</f>
        <v>5285.95</v>
      </c>
      <c r="K153" s="109"/>
    </row>
    <row r="154" spans="1:11" s="17" customFormat="1" ht="13.9" customHeight="1">
      <c r="A154" s="355" t="s">
        <v>59</v>
      </c>
      <c r="B154" s="1497" t="s">
        <v>56</v>
      </c>
      <c r="C154" s="1497"/>
      <c r="D154" s="1497"/>
      <c r="E154" s="1497"/>
      <c r="F154" s="1497"/>
      <c r="G154" s="190">
        <v>77.599999999999994</v>
      </c>
      <c r="H154" s="310" t="s">
        <v>38</v>
      </c>
      <c r="I154" s="191">
        <v>45.94</v>
      </c>
      <c r="J154" s="388">
        <f t="shared" ref="J154:J157" si="1">ROUND(G154*I154,2)</f>
        <v>3564.94</v>
      </c>
    </row>
    <row r="155" spans="1:11" s="17" customFormat="1" ht="13.9" customHeight="1">
      <c r="A155" s="355" t="s">
        <v>60</v>
      </c>
      <c r="B155" s="1497" t="s">
        <v>46</v>
      </c>
      <c r="C155" s="1497"/>
      <c r="D155" s="1497"/>
      <c r="E155" s="1497"/>
      <c r="F155" s="1497"/>
      <c r="G155" s="190">
        <v>11.97</v>
      </c>
      <c r="H155" s="310" t="s">
        <v>51</v>
      </c>
      <c r="I155" s="191">
        <v>247.41</v>
      </c>
      <c r="J155" s="388">
        <f t="shared" si="1"/>
        <v>2961.5</v>
      </c>
    </row>
    <row r="156" spans="1:11" s="17" customFormat="1" ht="13.9" customHeight="1">
      <c r="A156" s="355" t="s">
        <v>61</v>
      </c>
      <c r="B156" s="1497" t="s">
        <v>321</v>
      </c>
      <c r="C156" s="1497"/>
      <c r="D156" s="1497"/>
      <c r="E156" s="1497"/>
      <c r="F156" s="1497"/>
      <c r="G156" s="190">
        <v>11.97</v>
      </c>
      <c r="H156" s="310" t="s">
        <v>51</v>
      </c>
      <c r="I156" s="191">
        <v>60.2</v>
      </c>
      <c r="J156" s="388">
        <f t="shared" si="1"/>
        <v>720.59</v>
      </c>
    </row>
    <row r="157" spans="1:11" s="17" customFormat="1" ht="26.45" customHeight="1">
      <c r="A157" s="389" t="s">
        <v>62</v>
      </c>
      <c r="B157" s="1335" t="s">
        <v>57</v>
      </c>
      <c r="C157" s="1335"/>
      <c r="D157" s="1335"/>
      <c r="E157" s="1335"/>
      <c r="F157" s="1335"/>
      <c r="G157" s="196">
        <v>38</v>
      </c>
      <c r="H157" s="186" t="s">
        <v>96</v>
      </c>
      <c r="I157" s="197">
        <v>800.82</v>
      </c>
      <c r="J157" s="390">
        <f t="shared" si="1"/>
        <v>30431.16</v>
      </c>
    </row>
    <row r="158" spans="1:11" s="16" customFormat="1" ht="12" customHeight="1">
      <c r="A158" s="391"/>
      <c r="B158" s="198"/>
      <c r="C158" s="199"/>
      <c r="D158" s="199"/>
      <c r="E158" s="199"/>
      <c r="F158" s="200"/>
      <c r="G158" s="201"/>
      <c r="H158" s="202"/>
      <c r="I158" s="203"/>
      <c r="J158" s="392"/>
    </row>
    <row r="159" spans="1:11" s="16" customFormat="1" ht="13.15" customHeight="1">
      <c r="A159" s="393">
        <v>5</v>
      </c>
      <c r="B159" s="1336" t="s">
        <v>78</v>
      </c>
      <c r="C159" s="1337"/>
      <c r="D159" s="1337"/>
      <c r="E159" s="1337"/>
      <c r="F159" s="1338"/>
      <c r="G159" s="292"/>
      <c r="H159" s="204"/>
      <c r="I159" s="204"/>
      <c r="J159" s="394">
        <f>SUM(J160:J166)</f>
        <v>69302.240000000005</v>
      </c>
    </row>
    <row r="160" spans="1:11" s="16" customFormat="1" ht="15" customHeight="1">
      <c r="A160" s="385" t="s">
        <v>71</v>
      </c>
      <c r="B160" s="1497" t="s">
        <v>65</v>
      </c>
      <c r="C160" s="1497"/>
      <c r="D160" s="1497"/>
      <c r="E160" s="1497"/>
      <c r="F160" s="1497"/>
      <c r="G160" s="205">
        <v>467</v>
      </c>
      <c r="H160" s="310" t="s">
        <v>96</v>
      </c>
      <c r="I160" s="206">
        <v>3.85</v>
      </c>
      <c r="J160" s="395">
        <f>ROUND(G160*I160,2)</f>
        <v>1797.95</v>
      </c>
      <c r="K160" s="109"/>
    </row>
    <row r="161" spans="1:12" s="17" customFormat="1" ht="15" customHeight="1">
      <c r="A161" s="385" t="s">
        <v>72</v>
      </c>
      <c r="B161" s="1497" t="s">
        <v>66</v>
      </c>
      <c r="C161" s="1497"/>
      <c r="D161" s="1497"/>
      <c r="E161" s="1497"/>
      <c r="F161" s="1497"/>
      <c r="G161" s="205">
        <v>467</v>
      </c>
      <c r="H161" s="310" t="s">
        <v>96</v>
      </c>
      <c r="I161" s="206">
        <v>11.37</v>
      </c>
      <c r="J161" s="395">
        <f t="shared" ref="J161:J163" si="2">ROUND(G161*I161,2)</f>
        <v>5309.79</v>
      </c>
    </row>
    <row r="162" spans="1:12" s="17" customFormat="1" ht="30" customHeight="1">
      <c r="A162" s="382" t="s">
        <v>73</v>
      </c>
      <c r="B162" s="1504" t="s">
        <v>320</v>
      </c>
      <c r="C162" s="1505"/>
      <c r="D162" s="1505"/>
      <c r="E162" s="1505"/>
      <c r="F162" s="1506"/>
      <c r="G162" s="190">
        <v>467</v>
      </c>
      <c r="H162" s="195" t="s">
        <v>96</v>
      </c>
      <c r="I162" s="207">
        <v>22.72</v>
      </c>
      <c r="J162" s="395">
        <f t="shared" si="2"/>
        <v>10610.24</v>
      </c>
    </row>
    <row r="163" spans="1:12" s="17" customFormat="1" ht="27.6" customHeight="1">
      <c r="A163" s="382" t="s">
        <v>74</v>
      </c>
      <c r="B163" s="1507" t="s">
        <v>67</v>
      </c>
      <c r="C163" s="1507"/>
      <c r="D163" s="1507"/>
      <c r="E163" s="1507"/>
      <c r="F163" s="1507"/>
      <c r="G163" s="208">
        <v>467</v>
      </c>
      <c r="H163" s="195" t="s">
        <v>96</v>
      </c>
      <c r="I163" s="207">
        <v>36.119999999999997</v>
      </c>
      <c r="J163" s="396">
        <f t="shared" si="2"/>
        <v>16868.04</v>
      </c>
    </row>
    <row r="164" spans="1:12" s="17" customFormat="1" ht="15" customHeight="1">
      <c r="A164" s="397" t="s">
        <v>75</v>
      </c>
      <c r="B164" s="1335" t="s">
        <v>68</v>
      </c>
      <c r="C164" s="1335"/>
      <c r="D164" s="1335"/>
      <c r="E164" s="1335"/>
      <c r="F164" s="1335"/>
      <c r="G164" s="196">
        <f>23.38</f>
        <v>23.38</v>
      </c>
      <c r="H164" s="186" t="s">
        <v>92</v>
      </c>
      <c r="I164" s="209">
        <v>508.74</v>
      </c>
      <c r="J164" s="390">
        <f>ROUND(G164*I164,2)</f>
        <v>11894.34</v>
      </c>
    </row>
    <row r="165" spans="1:12" s="17" customFormat="1" ht="15" customHeight="1">
      <c r="A165" s="397" t="s">
        <v>76</v>
      </c>
      <c r="B165" s="1327" t="s">
        <v>69</v>
      </c>
      <c r="C165" s="1328"/>
      <c r="D165" s="1328"/>
      <c r="E165" s="1328"/>
      <c r="F165" s="1329"/>
      <c r="G165" s="201">
        <f>467.47</f>
        <v>467.47</v>
      </c>
      <c r="H165" s="186" t="s">
        <v>96</v>
      </c>
      <c r="I165" s="210">
        <f>26+16.56</f>
        <v>42.56</v>
      </c>
      <c r="J165" s="390">
        <f>ROUND(G165*I165,2)</f>
        <v>19895.52</v>
      </c>
      <c r="K165" s="129"/>
    </row>
    <row r="166" spans="1:12" s="17" customFormat="1" ht="26.45" customHeight="1">
      <c r="A166" s="397" t="s">
        <v>77</v>
      </c>
      <c r="B166" s="1335" t="s">
        <v>70</v>
      </c>
      <c r="C166" s="1335"/>
      <c r="D166" s="1335"/>
      <c r="E166" s="1335"/>
      <c r="F166" s="1335"/>
      <c r="G166" s="196">
        <v>467.47</v>
      </c>
      <c r="H166" s="186" t="s">
        <v>96</v>
      </c>
      <c r="I166" s="209">
        <v>6.26</v>
      </c>
      <c r="J166" s="390">
        <f>ROUND(G166*I166,2)</f>
        <v>2926.36</v>
      </c>
      <c r="L166" s="173">
        <f>J317</f>
        <v>239055.50799999997</v>
      </c>
    </row>
    <row r="167" spans="1:12" s="17" customFormat="1" ht="15" customHeight="1">
      <c r="A167" s="408">
        <v>6</v>
      </c>
      <c r="B167" s="1301" t="s">
        <v>82</v>
      </c>
      <c r="C167" s="1302"/>
      <c r="D167" s="1302"/>
      <c r="E167" s="1302"/>
      <c r="F167" s="1303"/>
      <c r="G167" s="372"/>
      <c r="H167" s="222"/>
      <c r="I167" s="373"/>
      <c r="J167" s="394">
        <f>SUM(J168)</f>
        <v>10000</v>
      </c>
      <c r="L167" s="173">
        <f t="shared" ref="L167" si="3">J319</f>
        <v>7055.51</v>
      </c>
    </row>
    <row r="168" spans="1:12" s="17" customFormat="1" ht="12.75" customHeight="1">
      <c r="A168" s="397" t="s">
        <v>81</v>
      </c>
      <c r="B168" s="1313" t="s">
        <v>79</v>
      </c>
      <c r="C168" s="1314"/>
      <c r="D168" s="1314"/>
      <c r="E168" s="1314"/>
      <c r="F168" s="1315"/>
      <c r="G168" s="211">
        <v>1</v>
      </c>
      <c r="H168" s="186" t="s">
        <v>80</v>
      </c>
      <c r="I168" s="212">
        <v>10000</v>
      </c>
      <c r="J168" s="390">
        <f>I168</f>
        <v>10000</v>
      </c>
    </row>
    <row r="169" spans="1:12" s="17" customFormat="1" ht="12" customHeight="1">
      <c r="A169" s="385"/>
      <c r="B169" s="283"/>
      <c r="C169" s="284"/>
      <c r="D169" s="284"/>
      <c r="E169" s="284"/>
      <c r="F169" s="285"/>
      <c r="G169" s="213"/>
      <c r="H169" s="282"/>
      <c r="I169" s="214"/>
      <c r="J169" s="395"/>
    </row>
    <row r="170" spans="1:12" s="17" customFormat="1" ht="15" customHeight="1" thickBot="1">
      <c r="A170" s="407"/>
      <c r="B170" s="402"/>
      <c r="C170" s="402"/>
      <c r="D170" s="402"/>
      <c r="E170" s="402"/>
      <c r="F170" s="402"/>
      <c r="G170" s="403"/>
      <c r="H170" s="404" t="s">
        <v>286</v>
      </c>
      <c r="I170" s="405"/>
      <c r="J170" s="406">
        <f>J140+J143+J149+J152+J159+J167</f>
        <v>193418.71799999999</v>
      </c>
    </row>
    <row r="171" spans="1:12" s="266" customFormat="1" ht="15" customHeight="1" thickTop="1">
      <c r="A171" s="499"/>
      <c r="B171" s="499"/>
      <c r="C171" s="499"/>
      <c r="D171" s="499"/>
      <c r="E171" s="499"/>
      <c r="F171" s="499"/>
      <c r="G171" s="504"/>
      <c r="H171" s="505"/>
      <c r="I171" s="506"/>
      <c r="J171" s="507"/>
    </row>
    <row r="172" spans="1:12" s="16" customFormat="1" ht="12.6" customHeight="1" thickBot="1">
      <c r="A172" s="500"/>
      <c r="B172" s="501"/>
      <c r="C172" s="501"/>
      <c r="D172" s="501"/>
      <c r="E172" s="501"/>
      <c r="F172" s="501"/>
      <c r="G172" s="502"/>
      <c r="H172" s="434"/>
      <c r="I172" s="503"/>
      <c r="J172" s="508"/>
      <c r="K172" s="109"/>
    </row>
    <row r="173" spans="1:12" s="154" customFormat="1" ht="15" customHeight="1" thickTop="1">
      <c r="A173" s="1323" t="s">
        <v>388</v>
      </c>
      <c r="B173" s="1324"/>
      <c r="C173" s="1324"/>
      <c r="D173" s="1324"/>
      <c r="E173" s="1324"/>
      <c r="F173" s="1324"/>
      <c r="G173" s="1324"/>
      <c r="H173" s="1324"/>
      <c r="I173" s="1324"/>
      <c r="J173" s="1325"/>
      <c r="K173" s="256"/>
    </row>
    <row r="174" spans="1:12" s="154" customFormat="1" ht="15" customHeight="1">
      <c r="A174" s="380">
        <v>1</v>
      </c>
      <c r="B174" s="1322" t="s">
        <v>36</v>
      </c>
      <c r="C174" s="1322"/>
      <c r="D174" s="1322"/>
      <c r="E174" s="1322"/>
      <c r="F174" s="1322"/>
      <c r="G174" s="264"/>
      <c r="H174" s="215"/>
      <c r="I174" s="216"/>
      <c r="J174" s="411">
        <f>SUM(J175:J178)</f>
        <v>10278.193499999999</v>
      </c>
      <c r="K174" s="256"/>
    </row>
    <row r="175" spans="1:12" s="266" customFormat="1" ht="15" customHeight="1">
      <c r="A175" s="412" t="s">
        <v>39</v>
      </c>
      <c r="B175" s="1313" t="s">
        <v>364</v>
      </c>
      <c r="C175" s="1314"/>
      <c r="D175" s="1314"/>
      <c r="E175" s="1314"/>
      <c r="F175" s="1315"/>
      <c r="G175" s="184">
        <v>372.46</v>
      </c>
      <c r="H175" s="310" t="s">
        <v>92</v>
      </c>
      <c r="I175" s="257">
        <v>15</v>
      </c>
      <c r="J175" s="413">
        <f>SUM(G175*I175)</f>
        <v>5586.9</v>
      </c>
      <c r="K175" s="265"/>
    </row>
    <row r="176" spans="1:12" s="266" customFormat="1" ht="27" customHeight="1">
      <c r="A176" s="412" t="s">
        <v>345</v>
      </c>
      <c r="B176" s="1313" t="s">
        <v>93</v>
      </c>
      <c r="C176" s="1314"/>
      <c r="D176" s="1314"/>
      <c r="E176" s="1314"/>
      <c r="F176" s="1315"/>
      <c r="G176" s="185">
        <v>691.27</v>
      </c>
      <c r="H176" s="186" t="s">
        <v>92</v>
      </c>
      <c r="I176" s="258">
        <v>1.62</v>
      </c>
      <c r="J176" s="413">
        <f t="shared" ref="J176:J178" si="4">SUM(G176*I176)</f>
        <v>1119.8574000000001</v>
      </c>
      <c r="K176" s="265"/>
    </row>
    <row r="177" spans="1:11" s="266" customFormat="1" ht="13.9" customHeight="1">
      <c r="A177" s="412" t="s">
        <v>347</v>
      </c>
      <c r="B177" s="1313" t="s">
        <v>363</v>
      </c>
      <c r="C177" s="1314"/>
      <c r="D177" s="1314"/>
      <c r="E177" s="1314"/>
      <c r="F177" s="1315"/>
      <c r="G177" s="185">
        <v>372.46</v>
      </c>
      <c r="H177" s="186" t="s">
        <v>96</v>
      </c>
      <c r="I177" s="258">
        <v>3.69</v>
      </c>
      <c r="J177" s="413">
        <f t="shared" si="4"/>
        <v>1374.3773999999999</v>
      </c>
      <c r="K177" s="265"/>
    </row>
    <row r="178" spans="1:11" s="266" customFormat="1" ht="15" customHeight="1">
      <c r="A178" s="412" t="s">
        <v>349</v>
      </c>
      <c r="B178" s="1313" t="s">
        <v>346</v>
      </c>
      <c r="C178" s="1314"/>
      <c r="D178" s="1314"/>
      <c r="E178" s="1314"/>
      <c r="F178" s="1315"/>
      <c r="G178" s="185">
        <v>241.17</v>
      </c>
      <c r="H178" s="186" t="s">
        <v>92</v>
      </c>
      <c r="I178" s="258">
        <v>9.11</v>
      </c>
      <c r="J178" s="413">
        <f t="shared" si="4"/>
        <v>2197.0586999999996</v>
      </c>
      <c r="K178" s="265"/>
    </row>
    <row r="179" spans="1:11" s="266" customFormat="1" ht="13.15" customHeight="1">
      <c r="A179" s="397"/>
      <c r="B179" s="198"/>
      <c r="C179" s="199"/>
      <c r="D179" s="199"/>
      <c r="E179" s="199"/>
      <c r="F179" s="200"/>
      <c r="G179" s="185"/>
      <c r="H179" s="186"/>
      <c r="I179" s="258"/>
      <c r="J179" s="413"/>
      <c r="K179" s="265"/>
    </row>
    <row r="180" spans="1:11" s="266" customFormat="1" ht="15" customHeight="1">
      <c r="A180" s="380">
        <v>2</v>
      </c>
      <c r="B180" s="1322" t="s">
        <v>63</v>
      </c>
      <c r="C180" s="1322"/>
      <c r="D180" s="1322"/>
      <c r="E180" s="1322"/>
      <c r="F180" s="1322"/>
      <c r="G180" s="259"/>
      <c r="H180" s="189"/>
      <c r="I180" s="260"/>
      <c r="J180" s="411">
        <f>SUM(J181)</f>
        <v>7343.5194000000001</v>
      </c>
      <c r="K180" s="265"/>
    </row>
    <row r="181" spans="1:11" s="266" customFormat="1" ht="16.149999999999999" customHeight="1">
      <c r="A181" s="389" t="s">
        <v>84</v>
      </c>
      <c r="B181" s="1335" t="s">
        <v>57</v>
      </c>
      <c r="C181" s="1335"/>
      <c r="D181" s="1335"/>
      <c r="E181" s="1335"/>
      <c r="F181" s="1335"/>
      <c r="G181" s="196">
        <v>9.17</v>
      </c>
      <c r="H181" s="186" t="s">
        <v>96</v>
      </c>
      <c r="I181" s="197">
        <v>800.82</v>
      </c>
      <c r="J181" s="413">
        <f>SUM(G181*I181)</f>
        <v>7343.5194000000001</v>
      </c>
      <c r="K181" s="265"/>
    </row>
    <row r="182" spans="1:11" s="266" customFormat="1" ht="12" customHeight="1">
      <c r="A182" s="397"/>
      <c r="B182" s="198"/>
      <c r="C182" s="199"/>
      <c r="D182" s="199"/>
      <c r="E182" s="199"/>
      <c r="F182" s="200"/>
      <c r="G182" s="185"/>
      <c r="H182" s="186"/>
      <c r="I182" s="258"/>
      <c r="J182" s="413"/>
      <c r="K182" s="265"/>
    </row>
    <row r="183" spans="1:11" s="266" customFormat="1" ht="15" customHeight="1">
      <c r="A183" s="414">
        <v>3</v>
      </c>
      <c r="B183" s="1336" t="s">
        <v>78</v>
      </c>
      <c r="C183" s="1337"/>
      <c r="D183" s="1337"/>
      <c r="E183" s="1337"/>
      <c r="F183" s="1338"/>
      <c r="G183" s="259"/>
      <c r="H183" s="189"/>
      <c r="I183" s="260"/>
      <c r="J183" s="411">
        <f>SUM(J184)</f>
        <v>7037.4075000000003</v>
      </c>
      <c r="K183" s="265"/>
    </row>
    <row r="184" spans="1:11" s="266" customFormat="1" ht="15" customHeight="1">
      <c r="A184" s="397" t="s">
        <v>54</v>
      </c>
      <c r="B184" s="1313" t="s">
        <v>334</v>
      </c>
      <c r="C184" s="1314"/>
      <c r="D184" s="1314"/>
      <c r="E184" s="1314"/>
      <c r="F184" s="1315"/>
      <c r="G184" s="201">
        <v>15.63</v>
      </c>
      <c r="H184" s="186" t="s">
        <v>92</v>
      </c>
      <c r="I184" s="210">
        <v>450.25</v>
      </c>
      <c r="J184" s="413">
        <f>SUM(G184*I184)</f>
        <v>7037.4075000000003</v>
      </c>
      <c r="K184" s="265"/>
    </row>
    <row r="185" spans="1:11" s="154" customFormat="1" ht="10.15" customHeight="1">
      <c r="A185" s="365"/>
      <c r="B185" s="340"/>
      <c r="C185" s="340"/>
      <c r="D185" s="340"/>
      <c r="E185" s="340"/>
      <c r="F185" s="340"/>
      <c r="G185" s="341"/>
      <c r="H185" s="332"/>
      <c r="I185" s="176"/>
      <c r="J185" s="415"/>
      <c r="K185" s="256"/>
    </row>
    <row r="186" spans="1:11" s="16" customFormat="1" ht="13.9" customHeight="1">
      <c r="A186" s="416"/>
      <c r="B186" s="293"/>
      <c r="C186" s="293"/>
      <c r="D186" s="293"/>
      <c r="E186" s="293"/>
      <c r="F186" s="293"/>
      <c r="G186" s="264"/>
      <c r="H186" s="320" t="s">
        <v>286</v>
      </c>
      <c r="I186" s="216"/>
      <c r="J186" s="411">
        <f>SUM(J174+J180+J183)</f>
        <v>24659.1204</v>
      </c>
      <c r="K186" s="18"/>
    </row>
    <row r="187" spans="1:11" s="16" customFormat="1" ht="13.9" customHeight="1">
      <c r="A187" s="365"/>
      <c r="B187" s="340"/>
      <c r="C187" s="340"/>
      <c r="D187" s="340"/>
      <c r="E187" s="340"/>
      <c r="F187" s="340"/>
      <c r="G187" s="341"/>
      <c r="H187" s="332"/>
      <c r="I187" s="176"/>
      <c r="J187" s="415"/>
      <c r="K187" s="18"/>
    </row>
    <row r="188" spans="1:11" s="16" customFormat="1" ht="15" customHeight="1">
      <c r="A188" s="417"/>
      <c r="B188" s="1316" t="s">
        <v>311</v>
      </c>
      <c r="C188" s="1317"/>
      <c r="D188" s="1317"/>
      <c r="E188" s="1317"/>
      <c r="F188" s="1318"/>
      <c r="G188" s="182"/>
      <c r="H188" s="189"/>
      <c r="I188" s="183"/>
      <c r="J188" s="418"/>
      <c r="K188" s="18"/>
    </row>
    <row r="189" spans="1:11" s="16" customFormat="1" ht="15" customHeight="1">
      <c r="A189" s="380">
        <v>1</v>
      </c>
      <c r="B189" s="1301" t="s">
        <v>36</v>
      </c>
      <c r="C189" s="1302"/>
      <c r="D189" s="1302"/>
      <c r="E189" s="1302"/>
      <c r="F189" s="1303"/>
      <c r="G189" s="182"/>
      <c r="H189" s="189"/>
      <c r="I189" s="183"/>
      <c r="J189" s="419">
        <f>SUM(J190)</f>
        <v>202.52</v>
      </c>
    </row>
    <row r="190" spans="1:11" s="16" customFormat="1" ht="15" customHeight="1">
      <c r="A190" s="385" t="s">
        <v>37</v>
      </c>
      <c r="B190" s="1331" t="s">
        <v>83</v>
      </c>
      <c r="C190" s="1332"/>
      <c r="D190" s="1332"/>
      <c r="E190" s="1332"/>
      <c r="F190" s="1333"/>
      <c r="G190" s="217">
        <v>28.89</v>
      </c>
      <c r="H190" s="218" t="s">
        <v>38</v>
      </c>
      <c r="I190" s="219">
        <v>7.01</v>
      </c>
      <c r="J190" s="420">
        <f>ROUND(G190*I190,2)</f>
        <v>202.52</v>
      </c>
    </row>
    <row r="191" spans="1:11" s="16" customFormat="1" ht="13.15" customHeight="1">
      <c r="A191" s="382"/>
      <c r="B191" s="315"/>
      <c r="C191" s="316"/>
      <c r="D191" s="316"/>
      <c r="E191" s="316"/>
      <c r="F191" s="317"/>
      <c r="G191" s="217"/>
      <c r="H191" s="218"/>
      <c r="I191" s="220"/>
      <c r="J191" s="395"/>
    </row>
    <row r="192" spans="1:11" s="16" customFormat="1" ht="15" customHeight="1">
      <c r="A192" s="380">
        <v>2</v>
      </c>
      <c r="B192" s="1301" t="s">
        <v>91</v>
      </c>
      <c r="C192" s="1302"/>
      <c r="D192" s="1302"/>
      <c r="E192" s="1302"/>
      <c r="F192" s="1303"/>
      <c r="G192" s="221"/>
      <c r="H192" s="222"/>
      <c r="I192" s="223"/>
      <c r="J192" s="419">
        <f>SUM(J193:J198)</f>
        <v>2566.1299999999997</v>
      </c>
    </row>
    <row r="193" spans="1:11" s="16" customFormat="1" ht="15" customHeight="1">
      <c r="A193" s="385" t="s">
        <v>84</v>
      </c>
      <c r="B193" s="1498" t="s">
        <v>85</v>
      </c>
      <c r="C193" s="1499"/>
      <c r="D193" s="1499"/>
      <c r="E193" s="1499"/>
      <c r="F193" s="1500"/>
      <c r="G193" s="205">
        <v>2.08</v>
      </c>
      <c r="H193" s="218" t="s">
        <v>51</v>
      </c>
      <c r="I193" s="224">
        <v>31.05</v>
      </c>
      <c r="J193" s="421">
        <f>ROUND(G193*I193,2)</f>
        <v>64.58</v>
      </c>
    </row>
    <row r="194" spans="1:11" s="16" customFormat="1" ht="15" customHeight="1">
      <c r="A194" s="385" t="s">
        <v>43</v>
      </c>
      <c r="B194" s="1501" t="s">
        <v>49</v>
      </c>
      <c r="C194" s="1502"/>
      <c r="D194" s="1502"/>
      <c r="E194" s="1502"/>
      <c r="F194" s="1503"/>
      <c r="G194" s="225">
        <v>27</v>
      </c>
      <c r="H194" s="218" t="s">
        <v>52</v>
      </c>
      <c r="I194" s="224">
        <v>36.01</v>
      </c>
      <c r="J194" s="421">
        <f t="shared" ref="J194:J198" si="5">ROUND(G194*I194,2)</f>
        <v>972.27</v>
      </c>
    </row>
    <row r="195" spans="1:11" s="16" customFormat="1" ht="15" customHeight="1">
      <c r="A195" s="385" t="s">
        <v>240</v>
      </c>
      <c r="B195" s="330" t="s">
        <v>86</v>
      </c>
      <c r="C195" s="321"/>
      <c r="D195" s="321"/>
      <c r="E195" s="321"/>
      <c r="F195" s="322"/>
      <c r="G195" s="205">
        <v>0.16</v>
      </c>
      <c r="H195" s="218" t="s">
        <v>92</v>
      </c>
      <c r="I195" s="226">
        <v>96.07</v>
      </c>
      <c r="J195" s="421">
        <f t="shared" si="5"/>
        <v>15.37</v>
      </c>
    </row>
    <row r="196" spans="1:11" s="16" customFormat="1" ht="15" customHeight="1">
      <c r="A196" s="385" t="s">
        <v>47</v>
      </c>
      <c r="B196" s="331" t="s">
        <v>87</v>
      </c>
      <c r="C196" s="321"/>
      <c r="D196" s="321"/>
      <c r="E196" s="321"/>
      <c r="F196" s="322"/>
      <c r="G196" s="205">
        <f>ROUND(90*G197,2)</f>
        <v>172.8</v>
      </c>
      <c r="H196" s="310" t="s">
        <v>50</v>
      </c>
      <c r="I196" s="227">
        <v>5.01</v>
      </c>
      <c r="J196" s="421">
        <f t="shared" si="5"/>
        <v>865.73</v>
      </c>
    </row>
    <row r="197" spans="1:11" s="16" customFormat="1" ht="15" customHeight="1">
      <c r="A197" s="385" t="s">
        <v>48</v>
      </c>
      <c r="B197" s="331" t="s">
        <v>89</v>
      </c>
      <c r="C197" s="321"/>
      <c r="D197" s="321"/>
      <c r="E197" s="321"/>
      <c r="F197" s="322"/>
      <c r="G197" s="205">
        <v>1.92</v>
      </c>
      <c r="H197" s="310" t="s">
        <v>51</v>
      </c>
      <c r="I197" s="224">
        <v>250.43</v>
      </c>
      <c r="J197" s="421">
        <f t="shared" si="5"/>
        <v>480.83</v>
      </c>
    </row>
    <row r="198" spans="1:11" s="16" customFormat="1" ht="15" customHeight="1">
      <c r="A198" s="385" t="s">
        <v>88</v>
      </c>
      <c r="B198" s="331" t="s">
        <v>90</v>
      </c>
      <c r="C198" s="321"/>
      <c r="D198" s="321"/>
      <c r="E198" s="321"/>
      <c r="F198" s="322"/>
      <c r="G198" s="205">
        <f>G197</f>
        <v>1.92</v>
      </c>
      <c r="H198" s="218" t="s">
        <v>51</v>
      </c>
      <c r="I198" s="227">
        <v>87.16</v>
      </c>
      <c r="J198" s="421">
        <f t="shared" si="5"/>
        <v>167.35</v>
      </c>
    </row>
    <row r="199" spans="1:11" s="16" customFormat="1" ht="13.15" customHeight="1">
      <c r="A199" s="355"/>
      <c r="B199" s="338"/>
      <c r="C199" s="340"/>
      <c r="D199" s="340"/>
      <c r="E199" s="340"/>
      <c r="F199" s="339"/>
      <c r="G199" s="311"/>
      <c r="H199" s="310"/>
      <c r="I199" s="310"/>
      <c r="J199" s="422"/>
    </row>
    <row r="200" spans="1:11" s="16" customFormat="1" ht="15" customHeight="1">
      <c r="A200" s="380">
        <v>3</v>
      </c>
      <c r="B200" s="1301" t="s">
        <v>315</v>
      </c>
      <c r="C200" s="1302"/>
      <c r="D200" s="1302"/>
      <c r="E200" s="1302"/>
      <c r="F200" s="1303"/>
      <c r="G200" s="182"/>
      <c r="H200" s="189"/>
      <c r="I200" s="189"/>
      <c r="J200" s="384">
        <f>SUM(J201:J202)</f>
        <v>616.71</v>
      </c>
    </row>
    <row r="201" spans="1:11" s="16" customFormat="1" ht="28.9" customHeight="1">
      <c r="A201" s="385" t="s">
        <v>54</v>
      </c>
      <c r="B201" s="1330" t="s">
        <v>93</v>
      </c>
      <c r="C201" s="1330"/>
      <c r="D201" s="1330"/>
      <c r="E201" s="1330"/>
      <c r="F201" s="1330"/>
      <c r="G201" s="205">
        <v>48.65</v>
      </c>
      <c r="H201" s="310" t="s">
        <v>96</v>
      </c>
      <c r="I201" s="227">
        <v>1.62</v>
      </c>
      <c r="J201" s="395">
        <f>ROUND(G201*I201,2)</f>
        <v>78.81</v>
      </c>
      <c r="K201" s="109"/>
    </row>
    <row r="202" spans="1:11" s="16" customFormat="1" ht="15" customHeight="1">
      <c r="A202" s="385" t="s">
        <v>95</v>
      </c>
      <c r="B202" s="1331" t="s">
        <v>94</v>
      </c>
      <c r="C202" s="1332"/>
      <c r="D202" s="1332"/>
      <c r="E202" s="1332"/>
      <c r="F202" s="1333"/>
      <c r="G202" s="205">
        <v>2.4500000000000002</v>
      </c>
      <c r="H202" s="310" t="s">
        <v>92</v>
      </c>
      <c r="I202" s="227">
        <v>219.55</v>
      </c>
      <c r="J202" s="395">
        <f>ROUND(G202*I202,2)</f>
        <v>537.9</v>
      </c>
    </row>
    <row r="203" spans="1:11" s="16" customFormat="1" ht="13.15" customHeight="1">
      <c r="A203" s="355"/>
      <c r="B203" s="338"/>
      <c r="C203" s="340"/>
      <c r="D203" s="340"/>
      <c r="E203" s="340"/>
      <c r="F203" s="339"/>
      <c r="G203" s="311"/>
      <c r="H203" s="310"/>
      <c r="I203" s="310"/>
      <c r="J203" s="422"/>
      <c r="K203" s="109"/>
    </row>
    <row r="204" spans="1:11" s="16" customFormat="1" ht="13.15" customHeight="1">
      <c r="A204" s="380">
        <v>4</v>
      </c>
      <c r="B204" s="1310" t="s">
        <v>98</v>
      </c>
      <c r="C204" s="1311"/>
      <c r="D204" s="1311"/>
      <c r="E204" s="1311"/>
      <c r="F204" s="1312"/>
      <c r="G204" s="182"/>
      <c r="H204" s="189"/>
      <c r="I204" s="189"/>
      <c r="J204" s="384">
        <f>SUM(J205:J207)</f>
        <v>7112.22</v>
      </c>
    </row>
    <row r="205" spans="1:11" s="16" customFormat="1" ht="15" customHeight="1">
      <c r="A205" s="423" t="s">
        <v>58</v>
      </c>
      <c r="B205" s="1331" t="s">
        <v>313</v>
      </c>
      <c r="C205" s="1332"/>
      <c r="D205" s="1332"/>
      <c r="E205" s="1332"/>
      <c r="F205" s="1333"/>
      <c r="G205" s="205">
        <v>69</v>
      </c>
      <c r="H205" s="310" t="s">
        <v>96</v>
      </c>
      <c r="I205" s="224">
        <v>50.4</v>
      </c>
      <c r="J205" s="395">
        <f>ROUND(G205*I205,2)</f>
        <v>3477.6</v>
      </c>
      <c r="K205" s="109"/>
    </row>
    <row r="206" spans="1:11" s="16" customFormat="1" ht="15" customHeight="1">
      <c r="A206" s="423" t="s">
        <v>59</v>
      </c>
      <c r="B206" s="1331" t="s">
        <v>99</v>
      </c>
      <c r="C206" s="1332"/>
      <c r="D206" s="1332"/>
      <c r="E206" s="1332"/>
      <c r="F206" s="1333"/>
      <c r="G206" s="205">
        <v>2.2599999999999998</v>
      </c>
      <c r="H206" s="310" t="s">
        <v>92</v>
      </c>
      <c r="I206" s="227">
        <v>912.87</v>
      </c>
      <c r="J206" s="395">
        <f t="shared" ref="J206:J207" si="6">ROUND(G206*I206,2)</f>
        <v>2063.09</v>
      </c>
    </row>
    <row r="207" spans="1:11" s="16" customFormat="1" ht="15" customHeight="1">
      <c r="A207" s="423" t="s">
        <v>60</v>
      </c>
      <c r="B207" s="1331" t="s">
        <v>323</v>
      </c>
      <c r="C207" s="1332"/>
      <c r="D207" s="1332"/>
      <c r="E207" s="1332"/>
      <c r="F207" s="1333"/>
      <c r="G207" s="205">
        <v>15.35</v>
      </c>
      <c r="H207" s="310" t="s">
        <v>96</v>
      </c>
      <c r="I207" s="227">
        <v>102.38</v>
      </c>
      <c r="J207" s="395">
        <f t="shared" si="6"/>
        <v>1571.53</v>
      </c>
    </row>
    <row r="208" spans="1:11" s="16" customFormat="1" ht="12" customHeight="1">
      <c r="A208" s="355"/>
      <c r="B208" s="338"/>
      <c r="C208" s="340"/>
      <c r="D208" s="340"/>
      <c r="E208" s="340"/>
      <c r="F208" s="339"/>
      <c r="G208" s="311"/>
      <c r="H208" s="310"/>
      <c r="I208" s="310"/>
      <c r="J208" s="422"/>
    </row>
    <row r="209" spans="1:12" s="16" customFormat="1" ht="13.9" customHeight="1">
      <c r="A209" s="424">
        <v>5</v>
      </c>
      <c r="B209" s="1310" t="s">
        <v>100</v>
      </c>
      <c r="C209" s="1311"/>
      <c r="D209" s="1311"/>
      <c r="E209" s="1311"/>
      <c r="F209" s="1312"/>
      <c r="G209" s="182"/>
      <c r="H209" s="189"/>
      <c r="I209" s="189"/>
      <c r="J209" s="384">
        <f>SUM(J210)</f>
        <v>2187.2600000000002</v>
      </c>
    </row>
    <row r="210" spans="1:12" s="16" customFormat="1" ht="27.6" customHeight="1">
      <c r="A210" s="385" t="s">
        <v>71</v>
      </c>
      <c r="B210" s="1498" t="s">
        <v>101</v>
      </c>
      <c r="C210" s="1499"/>
      <c r="D210" s="1499"/>
      <c r="E210" s="1499"/>
      <c r="F210" s="1500"/>
      <c r="G210" s="184">
        <v>28.89</v>
      </c>
      <c r="H210" s="310" t="s">
        <v>38</v>
      </c>
      <c r="I210" s="224">
        <v>75.709999999999994</v>
      </c>
      <c r="J210" s="425">
        <f>ROUND(G210*I210,2)</f>
        <v>2187.2600000000002</v>
      </c>
    </row>
    <row r="211" spans="1:12" s="16" customFormat="1" ht="12" customHeight="1">
      <c r="A211" s="363"/>
      <c r="B211" s="295"/>
      <c r="C211" s="296"/>
      <c r="D211" s="296"/>
      <c r="E211" s="296"/>
      <c r="F211" s="297"/>
      <c r="G211" s="298"/>
      <c r="H211" s="218"/>
      <c r="I211" s="218"/>
      <c r="J211" s="426"/>
    </row>
    <row r="212" spans="1:12" s="16" customFormat="1" ht="13.15" customHeight="1">
      <c r="A212" s="380">
        <v>6</v>
      </c>
      <c r="B212" s="1301" t="s">
        <v>102</v>
      </c>
      <c r="C212" s="1302"/>
      <c r="D212" s="1302"/>
      <c r="E212" s="1302"/>
      <c r="F212" s="1303"/>
      <c r="G212" s="182"/>
      <c r="H212" s="189"/>
      <c r="I212" s="189"/>
      <c r="J212" s="384">
        <f>SUM(J213:J215)</f>
        <v>4866.9299999999994</v>
      </c>
    </row>
    <row r="213" spans="1:12" s="16" customFormat="1" ht="15" customHeight="1">
      <c r="A213" s="385" t="s">
        <v>81</v>
      </c>
      <c r="B213" s="330" t="s">
        <v>103</v>
      </c>
      <c r="C213" s="340"/>
      <c r="D213" s="340"/>
      <c r="E213" s="340"/>
      <c r="F213" s="339"/>
      <c r="G213" s="190">
        <v>43.23</v>
      </c>
      <c r="H213" s="310" t="s">
        <v>38</v>
      </c>
      <c r="I213" s="229">
        <v>76.87</v>
      </c>
      <c r="J213" s="395">
        <f>ROUND(G213*I213,2)</f>
        <v>3323.09</v>
      </c>
    </row>
    <row r="214" spans="1:12" s="16" customFormat="1" ht="15" customHeight="1">
      <c r="A214" s="423" t="s">
        <v>104</v>
      </c>
      <c r="B214" s="331" t="s">
        <v>105</v>
      </c>
      <c r="C214" s="296"/>
      <c r="D214" s="296"/>
      <c r="E214" s="296"/>
      <c r="F214" s="297"/>
      <c r="G214" s="205">
        <v>43.23</v>
      </c>
      <c r="H214" s="218" t="s">
        <v>38</v>
      </c>
      <c r="I214" s="230">
        <f>[1]Sheet1!$Z$2088</f>
        <v>33.409999999999997</v>
      </c>
      <c r="J214" s="395">
        <f>ROUND(G214*I214,2)</f>
        <v>1444.31</v>
      </c>
    </row>
    <row r="215" spans="1:12" s="16" customFormat="1" ht="27" customHeight="1">
      <c r="A215" s="385" t="s">
        <v>106</v>
      </c>
      <c r="B215" s="1498" t="s">
        <v>107</v>
      </c>
      <c r="C215" s="1499"/>
      <c r="D215" s="1499"/>
      <c r="E215" s="1499"/>
      <c r="F215" s="1500"/>
      <c r="G215" s="190">
        <v>6.6</v>
      </c>
      <c r="H215" s="310" t="s">
        <v>52</v>
      </c>
      <c r="I215" s="229">
        <f>[1]Sheet1!$Z$2094</f>
        <v>15.08</v>
      </c>
      <c r="J215" s="395">
        <f>ROUND(G215*I215,2)</f>
        <v>99.53</v>
      </c>
      <c r="L215" s="115"/>
    </row>
    <row r="216" spans="1:12" s="16" customFormat="1" ht="12" customHeight="1">
      <c r="A216" s="355"/>
      <c r="B216" s="338"/>
      <c r="C216" s="340"/>
      <c r="D216" s="340"/>
      <c r="E216" s="340"/>
      <c r="F216" s="339"/>
      <c r="G216" s="311"/>
      <c r="H216" s="310"/>
      <c r="I216" s="310"/>
      <c r="J216" s="422"/>
      <c r="L216" s="18"/>
    </row>
    <row r="217" spans="1:12" s="16" customFormat="1" ht="13.15" customHeight="1">
      <c r="A217" s="380">
        <v>7</v>
      </c>
      <c r="B217" s="1322" t="s">
        <v>78</v>
      </c>
      <c r="C217" s="1322"/>
      <c r="D217" s="1322"/>
      <c r="E217" s="1322"/>
      <c r="F217" s="1322"/>
      <c r="G217" s="182"/>
      <c r="H217" s="189"/>
      <c r="I217" s="189"/>
      <c r="J217" s="384">
        <f>SUM(J218:J224)</f>
        <v>5686.83</v>
      </c>
      <c r="L217" s="18"/>
    </row>
    <row r="218" spans="1:12" s="16" customFormat="1" ht="15" customHeight="1">
      <c r="A218" s="385" t="s">
        <v>108</v>
      </c>
      <c r="B218" s="1497" t="s">
        <v>65</v>
      </c>
      <c r="C218" s="1497"/>
      <c r="D218" s="1497"/>
      <c r="E218" s="1497"/>
      <c r="F218" s="1497"/>
      <c r="G218" s="190">
        <f>G205*2</f>
        <v>138</v>
      </c>
      <c r="H218" s="310" t="s">
        <v>38</v>
      </c>
      <c r="I218" s="227">
        <f>[1]Sheet1!$Z$2271</f>
        <v>3.85</v>
      </c>
      <c r="J218" s="395">
        <f>ROUND(G218*I218,2)</f>
        <v>531.29999999999995</v>
      </c>
    </row>
    <row r="219" spans="1:12" s="16" customFormat="1" ht="15" customHeight="1">
      <c r="A219" s="423" t="s">
        <v>109</v>
      </c>
      <c r="B219" s="1508" t="s">
        <v>66</v>
      </c>
      <c r="C219" s="1508"/>
      <c r="D219" s="1508"/>
      <c r="E219" s="1508"/>
      <c r="F219" s="1508"/>
      <c r="G219" s="205">
        <f>G218</f>
        <v>138</v>
      </c>
      <c r="H219" s="218" t="s">
        <v>38</v>
      </c>
      <c r="I219" s="226">
        <v>11.37</v>
      </c>
      <c r="J219" s="395">
        <f>ROUND(G219*I219,2)</f>
        <v>1569.06</v>
      </c>
    </row>
    <row r="220" spans="1:12" s="16" customFormat="1" ht="39" customHeight="1">
      <c r="A220" s="382" t="s">
        <v>110</v>
      </c>
      <c r="B220" s="1507" t="s">
        <v>111</v>
      </c>
      <c r="C220" s="1507"/>
      <c r="D220" s="1507"/>
      <c r="E220" s="1507"/>
      <c r="F220" s="1507"/>
      <c r="G220" s="231">
        <f>G210</f>
        <v>28.89</v>
      </c>
      <c r="H220" s="195" t="s">
        <v>64</v>
      </c>
      <c r="I220" s="232">
        <v>87.62</v>
      </c>
      <c r="J220" s="396">
        <f>ROUND(G220*I220,2)</f>
        <v>2531.34</v>
      </c>
    </row>
    <row r="221" spans="1:12" s="16" customFormat="1" ht="27" customHeight="1" thickBot="1">
      <c r="A221" s="427" t="s">
        <v>112</v>
      </c>
      <c r="B221" s="1509" t="s">
        <v>113</v>
      </c>
      <c r="C221" s="1509"/>
      <c r="D221" s="1509"/>
      <c r="E221" s="1509"/>
      <c r="F221" s="1509"/>
      <c r="G221" s="428">
        <v>32.1</v>
      </c>
      <c r="H221" s="429" t="s">
        <v>38</v>
      </c>
      <c r="I221" s="430">
        <v>27.39</v>
      </c>
      <c r="J221" s="431">
        <f>ROUND(G221*I221,2)</f>
        <v>879.22</v>
      </c>
    </row>
    <row r="222" spans="1:12" s="16" customFormat="1" ht="27" customHeight="1" thickTop="1">
      <c r="A222" s="347"/>
      <c r="B222" s="496"/>
      <c r="C222" s="496"/>
      <c r="D222" s="496"/>
      <c r="E222" s="496"/>
      <c r="F222" s="496"/>
      <c r="G222" s="497"/>
      <c r="H222" s="347"/>
      <c r="I222" s="498"/>
      <c r="J222" s="491"/>
    </row>
    <row r="223" spans="1:12" s="16" customFormat="1" ht="27" customHeight="1" thickBot="1">
      <c r="A223" s="399"/>
      <c r="B223" s="409"/>
      <c r="C223" s="409"/>
      <c r="D223" s="409"/>
      <c r="E223" s="409"/>
      <c r="F223" s="409"/>
      <c r="G223" s="432"/>
      <c r="H223" s="399"/>
      <c r="I223" s="410"/>
      <c r="J223" s="448"/>
    </row>
    <row r="224" spans="1:12" s="16" customFormat="1" ht="28.9" customHeight="1" thickTop="1">
      <c r="A224" s="435" t="s">
        <v>114</v>
      </c>
      <c r="B224" s="1510" t="s">
        <v>115</v>
      </c>
      <c r="C224" s="1510"/>
      <c r="D224" s="1510"/>
      <c r="E224" s="1510"/>
      <c r="F224" s="1510"/>
      <c r="G224" s="436">
        <f>G221</f>
        <v>32.1</v>
      </c>
      <c r="H224" s="437" t="s">
        <v>38</v>
      </c>
      <c r="I224" s="433">
        <v>5.48</v>
      </c>
      <c r="J224" s="438">
        <f>ROUND(G224*I224,2)</f>
        <v>175.91</v>
      </c>
    </row>
    <row r="225" spans="1:10" s="16" customFormat="1" ht="14.45" customHeight="1">
      <c r="A225" s="358"/>
      <c r="B225" s="253"/>
      <c r="C225" s="177"/>
      <c r="D225" s="177"/>
      <c r="E225" s="177"/>
      <c r="F225" s="299"/>
      <c r="G225" s="311"/>
      <c r="H225" s="310"/>
      <c r="I225" s="310"/>
      <c r="J225" s="422"/>
    </row>
    <row r="226" spans="1:10" s="16" customFormat="1" ht="14.45" customHeight="1">
      <c r="A226" s="380">
        <v>8</v>
      </c>
      <c r="B226" s="1322" t="s">
        <v>116</v>
      </c>
      <c r="C226" s="1322"/>
      <c r="D226" s="1322"/>
      <c r="E226" s="1322"/>
      <c r="F226" s="1322"/>
      <c r="G226" s="182"/>
      <c r="H226" s="189"/>
      <c r="I226" s="189"/>
      <c r="J226" s="384">
        <f>SUM(J227:J239)</f>
        <v>4589.5899999999992</v>
      </c>
    </row>
    <row r="227" spans="1:10" s="16" customFormat="1" ht="25.9" customHeight="1">
      <c r="A227" s="385" t="s">
        <v>117</v>
      </c>
      <c r="B227" s="1330" t="s">
        <v>118</v>
      </c>
      <c r="C227" s="1330"/>
      <c r="D227" s="1330"/>
      <c r="E227" s="1330"/>
      <c r="F227" s="1330"/>
      <c r="G227" s="205">
        <v>1</v>
      </c>
      <c r="H227" s="310" t="s">
        <v>80</v>
      </c>
      <c r="I227" s="224">
        <v>352.87</v>
      </c>
      <c r="J227" s="395">
        <f>ROUND(G227*I227,2)</f>
        <v>352.87</v>
      </c>
    </row>
    <row r="228" spans="1:10" s="16" customFormat="1" ht="15" customHeight="1">
      <c r="A228" s="385" t="s">
        <v>119</v>
      </c>
      <c r="B228" s="1497" t="s">
        <v>120</v>
      </c>
      <c r="C228" s="1497"/>
      <c r="D228" s="1497"/>
      <c r="E228" s="1497"/>
      <c r="F228" s="1497"/>
      <c r="G228" s="205">
        <v>5</v>
      </c>
      <c r="H228" s="310" t="s">
        <v>50</v>
      </c>
      <c r="I228" s="227">
        <v>48.2</v>
      </c>
      <c r="J228" s="395">
        <f t="shared" ref="J228:J239" si="7">ROUND(G228*I228,2)</f>
        <v>241</v>
      </c>
    </row>
    <row r="229" spans="1:10" s="16" customFormat="1" ht="15" customHeight="1">
      <c r="A229" s="385" t="s">
        <v>121</v>
      </c>
      <c r="B229" s="1497" t="s">
        <v>122</v>
      </c>
      <c r="C229" s="1497"/>
      <c r="D229" s="1497"/>
      <c r="E229" s="1497"/>
      <c r="F229" s="1497"/>
      <c r="G229" s="205">
        <v>10</v>
      </c>
      <c r="H229" s="310" t="s">
        <v>80</v>
      </c>
      <c r="I229" s="227">
        <v>7.97</v>
      </c>
      <c r="J229" s="395">
        <f t="shared" si="7"/>
        <v>79.7</v>
      </c>
    </row>
    <row r="230" spans="1:10" s="16" customFormat="1" ht="15" customHeight="1">
      <c r="A230" s="385" t="s">
        <v>123</v>
      </c>
      <c r="B230" s="1497" t="s">
        <v>124</v>
      </c>
      <c r="C230" s="1497"/>
      <c r="D230" s="1497"/>
      <c r="E230" s="1497"/>
      <c r="F230" s="1497"/>
      <c r="G230" s="205">
        <v>2</v>
      </c>
      <c r="H230" s="310" t="s">
        <v>80</v>
      </c>
      <c r="I230" s="227">
        <v>9.4600000000000009</v>
      </c>
      <c r="J230" s="395">
        <f t="shared" si="7"/>
        <v>18.920000000000002</v>
      </c>
    </row>
    <row r="231" spans="1:10" s="16" customFormat="1" ht="15" customHeight="1">
      <c r="A231" s="385" t="s">
        <v>125</v>
      </c>
      <c r="B231" s="1497" t="s">
        <v>126</v>
      </c>
      <c r="C231" s="1497"/>
      <c r="D231" s="1497"/>
      <c r="E231" s="1497"/>
      <c r="F231" s="1497"/>
      <c r="G231" s="205">
        <v>200</v>
      </c>
      <c r="H231" s="310" t="s">
        <v>52</v>
      </c>
      <c r="I231" s="227">
        <v>8.7799999999999994</v>
      </c>
      <c r="J231" s="395">
        <f t="shared" si="7"/>
        <v>1756</v>
      </c>
    </row>
    <row r="232" spans="1:10" s="16" customFormat="1" ht="15" customHeight="1">
      <c r="A232" s="385" t="s">
        <v>399</v>
      </c>
      <c r="B232" s="1330" t="s">
        <v>128</v>
      </c>
      <c r="C232" s="1330"/>
      <c r="D232" s="1330"/>
      <c r="E232" s="1330"/>
      <c r="F232" s="1330"/>
      <c r="G232" s="205">
        <v>50</v>
      </c>
      <c r="H232" s="310" t="s">
        <v>52</v>
      </c>
      <c r="I232" s="233">
        <v>9.83</v>
      </c>
      <c r="J232" s="395">
        <f t="shared" si="7"/>
        <v>491.5</v>
      </c>
    </row>
    <row r="233" spans="1:10" s="16" customFormat="1" ht="16.899999999999999" customHeight="1">
      <c r="A233" s="385" t="s">
        <v>127</v>
      </c>
      <c r="B233" s="1497" t="s">
        <v>130</v>
      </c>
      <c r="C233" s="1497"/>
      <c r="D233" s="1497"/>
      <c r="E233" s="1497"/>
      <c r="F233" s="1497"/>
      <c r="G233" s="205">
        <v>100</v>
      </c>
      <c r="H233" s="310" t="s">
        <v>52</v>
      </c>
      <c r="I233" s="233">
        <v>1.5</v>
      </c>
      <c r="J233" s="395">
        <f t="shared" si="7"/>
        <v>150</v>
      </c>
    </row>
    <row r="234" spans="1:10" s="16" customFormat="1" ht="15" customHeight="1">
      <c r="A234" s="385" t="s">
        <v>129</v>
      </c>
      <c r="B234" s="1497" t="s">
        <v>132</v>
      </c>
      <c r="C234" s="1497"/>
      <c r="D234" s="1497"/>
      <c r="E234" s="1497"/>
      <c r="F234" s="1497"/>
      <c r="G234" s="205">
        <v>150</v>
      </c>
      <c r="H234" s="310" t="s">
        <v>52</v>
      </c>
      <c r="I234" s="233">
        <v>2.06</v>
      </c>
      <c r="J234" s="395">
        <f t="shared" si="7"/>
        <v>309</v>
      </c>
    </row>
    <row r="235" spans="1:10" s="16" customFormat="1" ht="15" customHeight="1">
      <c r="A235" s="385" t="s">
        <v>131</v>
      </c>
      <c r="B235" s="1497" t="s">
        <v>134</v>
      </c>
      <c r="C235" s="1497"/>
      <c r="D235" s="1497"/>
      <c r="E235" s="1497"/>
      <c r="F235" s="1497"/>
      <c r="G235" s="205">
        <v>100</v>
      </c>
      <c r="H235" s="310" t="s">
        <v>52</v>
      </c>
      <c r="I235" s="233">
        <v>2.74</v>
      </c>
      <c r="J235" s="395">
        <f t="shared" si="7"/>
        <v>274</v>
      </c>
    </row>
    <row r="236" spans="1:10" s="16" customFormat="1" ht="15" customHeight="1">
      <c r="A236" s="385" t="s">
        <v>133</v>
      </c>
      <c r="B236" s="1497" t="s">
        <v>136</v>
      </c>
      <c r="C236" s="1497"/>
      <c r="D236" s="1497"/>
      <c r="E236" s="1497"/>
      <c r="F236" s="1497"/>
      <c r="G236" s="205">
        <v>100</v>
      </c>
      <c r="H236" s="310" t="s">
        <v>52</v>
      </c>
      <c r="I236" s="233">
        <v>7.49</v>
      </c>
      <c r="J236" s="395">
        <f t="shared" si="7"/>
        <v>749</v>
      </c>
    </row>
    <row r="237" spans="1:10" s="16" customFormat="1" ht="15" customHeight="1">
      <c r="A237" s="385" t="s">
        <v>400</v>
      </c>
      <c r="B237" s="1330" t="s">
        <v>138</v>
      </c>
      <c r="C237" s="1330"/>
      <c r="D237" s="1330"/>
      <c r="E237" s="1330"/>
      <c r="F237" s="1330"/>
      <c r="G237" s="205">
        <v>6</v>
      </c>
      <c r="H237" s="310" t="s">
        <v>80</v>
      </c>
      <c r="I237" s="227">
        <v>14.52</v>
      </c>
      <c r="J237" s="395">
        <f t="shared" si="7"/>
        <v>87.12</v>
      </c>
    </row>
    <row r="238" spans="1:10" s="16" customFormat="1" ht="15" customHeight="1">
      <c r="A238" s="385" t="s">
        <v>135</v>
      </c>
      <c r="B238" s="1497" t="s">
        <v>140</v>
      </c>
      <c r="C238" s="1497"/>
      <c r="D238" s="1497"/>
      <c r="E238" s="1497"/>
      <c r="F238" s="1497"/>
      <c r="G238" s="205">
        <v>2</v>
      </c>
      <c r="H238" s="310" t="s">
        <v>80</v>
      </c>
      <c r="I238" s="234">
        <v>12.68</v>
      </c>
      <c r="J238" s="395">
        <f t="shared" si="7"/>
        <v>25.36</v>
      </c>
    </row>
    <row r="239" spans="1:10" s="16" customFormat="1" ht="15" customHeight="1">
      <c r="A239" s="385" t="s">
        <v>137</v>
      </c>
      <c r="B239" s="1497" t="s">
        <v>142</v>
      </c>
      <c r="C239" s="1497"/>
      <c r="D239" s="1497"/>
      <c r="E239" s="1497"/>
      <c r="F239" s="1497"/>
      <c r="G239" s="205">
        <v>4</v>
      </c>
      <c r="H239" s="310" t="s">
        <v>80</v>
      </c>
      <c r="I239" s="233">
        <v>13.78</v>
      </c>
      <c r="J239" s="395">
        <f t="shared" si="7"/>
        <v>55.12</v>
      </c>
    </row>
    <row r="240" spans="1:10" s="172" customFormat="1" ht="15" customHeight="1">
      <c r="A240" s="355"/>
      <c r="B240" s="338"/>
      <c r="C240" s="340"/>
      <c r="D240" s="340"/>
      <c r="E240" s="340"/>
      <c r="F240" s="339"/>
      <c r="G240" s="311"/>
      <c r="H240" s="310"/>
      <c r="I240" s="310"/>
      <c r="J240" s="422"/>
    </row>
    <row r="241" spans="1:10" s="16" customFormat="1" ht="13.15" customHeight="1">
      <c r="A241" s="380">
        <v>9</v>
      </c>
      <c r="B241" s="1301" t="s">
        <v>209</v>
      </c>
      <c r="C241" s="1302"/>
      <c r="D241" s="1302"/>
      <c r="E241" s="1302"/>
      <c r="F241" s="1303"/>
      <c r="G241" s="182"/>
      <c r="H241" s="189"/>
      <c r="I241" s="189"/>
      <c r="J241" s="384">
        <f>SUM(J242:J260)</f>
        <v>9767.909999999998</v>
      </c>
    </row>
    <row r="242" spans="1:10" s="16" customFormat="1" ht="15" customHeight="1">
      <c r="A242" s="385" t="s">
        <v>144</v>
      </c>
      <c r="B242" s="1331" t="s">
        <v>331</v>
      </c>
      <c r="C242" s="1332"/>
      <c r="D242" s="1332"/>
      <c r="E242" s="1332"/>
      <c r="F242" s="1333"/>
      <c r="G242" s="205">
        <v>1</v>
      </c>
      <c r="H242" s="310" t="s">
        <v>80</v>
      </c>
      <c r="I242" s="224">
        <v>361.98</v>
      </c>
      <c r="J242" s="395">
        <f>ROUND(G242*I242,2)</f>
        <v>361.98</v>
      </c>
    </row>
    <row r="243" spans="1:10" s="16" customFormat="1" ht="26.45" customHeight="1">
      <c r="A243" s="385" t="s">
        <v>145</v>
      </c>
      <c r="B243" s="1498" t="s">
        <v>330</v>
      </c>
      <c r="C243" s="1499"/>
      <c r="D243" s="1499"/>
      <c r="E243" s="1499"/>
      <c r="F243" s="1500"/>
      <c r="G243" s="205">
        <v>18</v>
      </c>
      <c r="H243" s="310" t="s">
        <v>52</v>
      </c>
      <c r="I243" s="227">
        <v>15.27</v>
      </c>
      <c r="J243" s="395">
        <f t="shared" ref="J243:J259" si="8">ROUND(G243*I243,2)</f>
        <v>274.86</v>
      </c>
    </row>
    <row r="244" spans="1:10" s="16" customFormat="1" ht="15" customHeight="1">
      <c r="A244" s="385" t="s">
        <v>147</v>
      </c>
      <c r="B244" s="1331" t="s">
        <v>148</v>
      </c>
      <c r="C244" s="1332"/>
      <c r="D244" s="1332"/>
      <c r="E244" s="1332"/>
      <c r="F244" s="1333"/>
      <c r="G244" s="205">
        <v>1</v>
      </c>
      <c r="H244" s="310" t="s">
        <v>80</v>
      </c>
      <c r="I244" s="227">
        <v>82.61</v>
      </c>
      <c r="J244" s="395">
        <f t="shared" si="8"/>
        <v>82.61</v>
      </c>
    </row>
    <row r="245" spans="1:10" s="16" customFormat="1" ht="15" customHeight="1">
      <c r="A245" s="385" t="s">
        <v>149</v>
      </c>
      <c r="B245" s="1331" t="s">
        <v>150</v>
      </c>
      <c r="C245" s="1332"/>
      <c r="D245" s="1332"/>
      <c r="E245" s="1332"/>
      <c r="F245" s="1333"/>
      <c r="G245" s="205">
        <v>1</v>
      </c>
      <c r="H245" s="310" t="s">
        <v>80</v>
      </c>
      <c r="I245" s="227">
        <v>50.33</v>
      </c>
      <c r="J245" s="395">
        <f t="shared" si="8"/>
        <v>50.33</v>
      </c>
    </row>
    <row r="246" spans="1:10" s="16" customFormat="1" ht="27.6" customHeight="1">
      <c r="A246" s="385" t="s">
        <v>151</v>
      </c>
      <c r="B246" s="1498" t="s">
        <v>329</v>
      </c>
      <c r="C246" s="1499"/>
      <c r="D246" s="1499"/>
      <c r="E246" s="1499"/>
      <c r="F246" s="1500"/>
      <c r="G246" s="205">
        <v>48</v>
      </c>
      <c r="H246" s="310" t="s">
        <v>52</v>
      </c>
      <c r="I246" s="227">
        <v>16.260000000000002</v>
      </c>
      <c r="J246" s="395">
        <f t="shared" si="8"/>
        <v>780.48</v>
      </c>
    </row>
    <row r="247" spans="1:10" s="16" customFormat="1" ht="30" customHeight="1">
      <c r="A247" s="385" t="s">
        <v>153</v>
      </c>
      <c r="B247" s="1498" t="s">
        <v>154</v>
      </c>
      <c r="C247" s="1499"/>
      <c r="D247" s="1499"/>
      <c r="E247" s="1499"/>
      <c r="F247" s="1500"/>
      <c r="G247" s="205">
        <v>2</v>
      </c>
      <c r="H247" s="310" t="s">
        <v>80</v>
      </c>
      <c r="I247" s="233">
        <v>109.95</v>
      </c>
      <c r="J247" s="395">
        <f t="shared" si="8"/>
        <v>219.9</v>
      </c>
    </row>
    <row r="248" spans="1:10" s="16" customFormat="1" ht="26.25" customHeight="1">
      <c r="A248" s="385" t="s">
        <v>155</v>
      </c>
      <c r="B248" s="1498" t="s">
        <v>156</v>
      </c>
      <c r="C248" s="1499"/>
      <c r="D248" s="1499"/>
      <c r="E248" s="1499"/>
      <c r="F248" s="1500"/>
      <c r="G248" s="205">
        <v>3</v>
      </c>
      <c r="H248" s="310" t="s">
        <v>80</v>
      </c>
      <c r="I248" s="233">
        <v>69.25</v>
      </c>
      <c r="J248" s="395">
        <f t="shared" si="8"/>
        <v>207.75</v>
      </c>
    </row>
    <row r="249" spans="1:10" s="16" customFormat="1" ht="15" customHeight="1">
      <c r="A249" s="385" t="s">
        <v>184</v>
      </c>
      <c r="B249" s="1331" t="s">
        <v>158</v>
      </c>
      <c r="C249" s="1332"/>
      <c r="D249" s="1332"/>
      <c r="E249" s="1332"/>
      <c r="F249" s="1333"/>
      <c r="G249" s="205">
        <v>4</v>
      </c>
      <c r="H249" s="310" t="s">
        <v>80</v>
      </c>
      <c r="I249" s="233">
        <v>33.06</v>
      </c>
      <c r="J249" s="395">
        <f t="shared" si="8"/>
        <v>132.24</v>
      </c>
    </row>
    <row r="250" spans="1:10" s="16" customFormat="1" ht="15" customHeight="1">
      <c r="A250" s="385" t="s">
        <v>185</v>
      </c>
      <c r="B250" s="1331" t="s">
        <v>160</v>
      </c>
      <c r="C250" s="1332"/>
      <c r="D250" s="1332"/>
      <c r="E250" s="1332"/>
      <c r="F250" s="1333"/>
      <c r="G250" s="205">
        <v>3</v>
      </c>
      <c r="H250" s="310" t="s">
        <v>80</v>
      </c>
      <c r="I250" s="233">
        <v>50.23</v>
      </c>
      <c r="J250" s="395">
        <f t="shared" si="8"/>
        <v>150.69</v>
      </c>
    </row>
    <row r="251" spans="1:10" s="16" customFormat="1" ht="15" customHeight="1">
      <c r="A251" s="385" t="s">
        <v>157</v>
      </c>
      <c r="B251" s="1498" t="s">
        <v>328</v>
      </c>
      <c r="C251" s="1499"/>
      <c r="D251" s="1499"/>
      <c r="E251" s="1499"/>
      <c r="F251" s="1500"/>
      <c r="G251" s="205">
        <v>48</v>
      </c>
      <c r="H251" s="310" t="s">
        <v>52</v>
      </c>
      <c r="I251" s="233">
        <v>41.19</v>
      </c>
      <c r="J251" s="395">
        <f t="shared" si="8"/>
        <v>1977.12</v>
      </c>
    </row>
    <row r="252" spans="1:10" s="16" customFormat="1" ht="27.6" customHeight="1">
      <c r="A252" s="385" t="s">
        <v>159</v>
      </c>
      <c r="B252" s="1498" t="s">
        <v>327</v>
      </c>
      <c r="C252" s="1499"/>
      <c r="D252" s="1499"/>
      <c r="E252" s="1499"/>
      <c r="F252" s="1500"/>
      <c r="G252" s="205">
        <v>12</v>
      </c>
      <c r="H252" s="310" t="s">
        <v>52</v>
      </c>
      <c r="I252" s="233">
        <v>23.95</v>
      </c>
      <c r="J252" s="395">
        <f t="shared" si="8"/>
        <v>287.39999999999998</v>
      </c>
    </row>
    <row r="253" spans="1:10" s="16" customFormat="1" ht="18" customHeight="1">
      <c r="A253" s="385" t="s">
        <v>186</v>
      </c>
      <c r="B253" s="1498" t="s">
        <v>167</v>
      </c>
      <c r="C253" s="1499"/>
      <c r="D253" s="1499"/>
      <c r="E253" s="1499"/>
      <c r="F253" s="1500"/>
      <c r="G253" s="205">
        <v>3</v>
      </c>
      <c r="H253" s="310" t="s">
        <v>326</v>
      </c>
      <c r="I253" s="233">
        <v>374.25</v>
      </c>
      <c r="J253" s="395">
        <f t="shared" si="8"/>
        <v>1122.75</v>
      </c>
    </row>
    <row r="254" spans="1:10" s="16" customFormat="1" ht="15" customHeight="1">
      <c r="A254" s="385" t="s">
        <v>161</v>
      </c>
      <c r="B254" s="1523" t="s">
        <v>169</v>
      </c>
      <c r="C254" s="1524"/>
      <c r="D254" s="1524"/>
      <c r="E254" s="1524"/>
      <c r="F254" s="1525"/>
      <c r="G254" s="236">
        <v>2</v>
      </c>
      <c r="H254" s="237" t="s">
        <v>80</v>
      </c>
      <c r="I254" s="238">
        <v>186.49</v>
      </c>
      <c r="J254" s="395">
        <f t="shared" si="8"/>
        <v>372.98</v>
      </c>
    </row>
    <row r="255" spans="1:10" s="154" customFormat="1" ht="15" customHeight="1">
      <c r="A255" s="385" t="s">
        <v>163</v>
      </c>
      <c r="B255" s="1331" t="s">
        <v>171</v>
      </c>
      <c r="C255" s="1332"/>
      <c r="D255" s="1332"/>
      <c r="E255" s="1332"/>
      <c r="F255" s="1333"/>
      <c r="G255" s="190">
        <v>2</v>
      </c>
      <c r="H255" s="310" t="s">
        <v>80</v>
      </c>
      <c r="I255" s="233">
        <v>323.37</v>
      </c>
      <c r="J255" s="395">
        <f t="shared" si="8"/>
        <v>646.74</v>
      </c>
    </row>
    <row r="256" spans="1:10" s="16" customFormat="1" ht="15" customHeight="1">
      <c r="A256" s="385" t="s">
        <v>187</v>
      </c>
      <c r="B256" s="1511" t="s">
        <v>325</v>
      </c>
      <c r="C256" s="1512"/>
      <c r="D256" s="1512"/>
      <c r="E256" s="1512"/>
      <c r="F256" s="1513"/>
      <c r="G256" s="205">
        <v>2</v>
      </c>
      <c r="H256" s="218" t="s">
        <v>80</v>
      </c>
      <c r="I256" s="239">
        <v>449.64</v>
      </c>
      <c r="J256" s="395">
        <f t="shared" si="8"/>
        <v>899.28</v>
      </c>
    </row>
    <row r="257" spans="1:10" s="16" customFormat="1" ht="17.25" customHeight="1">
      <c r="A257" s="385" t="s">
        <v>166</v>
      </c>
      <c r="B257" s="1498" t="s">
        <v>175</v>
      </c>
      <c r="C257" s="1499"/>
      <c r="D257" s="1499"/>
      <c r="E257" s="1499"/>
      <c r="F257" s="1500"/>
      <c r="G257" s="205">
        <v>2</v>
      </c>
      <c r="H257" s="310" t="s">
        <v>80</v>
      </c>
      <c r="I257" s="233">
        <v>809.96</v>
      </c>
      <c r="J257" s="395">
        <f t="shared" si="8"/>
        <v>1619.92</v>
      </c>
    </row>
    <row r="258" spans="1:10" s="16" customFormat="1" ht="27.6" customHeight="1">
      <c r="A258" s="385" t="s">
        <v>168</v>
      </c>
      <c r="B258" s="1498" t="s">
        <v>177</v>
      </c>
      <c r="C258" s="1499"/>
      <c r="D258" s="1499"/>
      <c r="E258" s="1499"/>
      <c r="F258" s="1500"/>
      <c r="G258" s="190">
        <v>4</v>
      </c>
      <c r="H258" s="310" t="s">
        <v>80</v>
      </c>
      <c r="I258" s="240">
        <v>95.95</v>
      </c>
      <c r="J258" s="395">
        <f t="shared" si="8"/>
        <v>383.8</v>
      </c>
    </row>
    <row r="259" spans="1:10" s="16" customFormat="1" ht="16.899999999999999" customHeight="1">
      <c r="A259" s="385" t="s">
        <v>170</v>
      </c>
      <c r="B259" s="1529" t="s">
        <v>179</v>
      </c>
      <c r="C259" s="1530"/>
      <c r="D259" s="1530"/>
      <c r="E259" s="1530"/>
      <c r="F259" s="1531"/>
      <c r="G259" s="205">
        <v>2</v>
      </c>
      <c r="H259" s="218" t="s">
        <v>80</v>
      </c>
      <c r="I259" s="239">
        <v>66.84</v>
      </c>
      <c r="J259" s="395">
        <f t="shared" si="8"/>
        <v>133.68</v>
      </c>
    </row>
    <row r="260" spans="1:10" s="16" customFormat="1" ht="15" customHeight="1">
      <c r="A260" s="385" t="s">
        <v>172</v>
      </c>
      <c r="B260" s="1504" t="s">
        <v>317</v>
      </c>
      <c r="C260" s="1505"/>
      <c r="D260" s="1505"/>
      <c r="E260" s="1505"/>
      <c r="F260" s="1506"/>
      <c r="G260" s="231">
        <v>1</v>
      </c>
      <c r="H260" s="195" t="s">
        <v>80</v>
      </c>
      <c r="I260" s="241">
        <v>63.4</v>
      </c>
      <c r="J260" s="396">
        <f>ROUND(G260*I260,2)</f>
        <v>63.4</v>
      </c>
    </row>
    <row r="261" spans="1:10" s="16" customFormat="1" ht="16.5" customHeight="1">
      <c r="A261" s="380">
        <v>10</v>
      </c>
      <c r="B261" s="1310" t="s">
        <v>190</v>
      </c>
      <c r="C261" s="1311"/>
      <c r="D261" s="1311"/>
      <c r="E261" s="1311"/>
      <c r="F261" s="1312"/>
      <c r="G261" s="182"/>
      <c r="H261" s="189"/>
      <c r="I261" s="189"/>
      <c r="J261" s="384">
        <f>SUM(J262:J263)</f>
        <v>1724.93</v>
      </c>
    </row>
    <row r="262" spans="1:10" s="16" customFormat="1" ht="14.25" customHeight="1">
      <c r="A262" s="385" t="s">
        <v>194</v>
      </c>
      <c r="B262" s="1331" t="s">
        <v>324</v>
      </c>
      <c r="C262" s="1332"/>
      <c r="D262" s="1332"/>
      <c r="E262" s="1332"/>
      <c r="F262" s="1333"/>
      <c r="G262" s="205">
        <v>9</v>
      </c>
      <c r="H262" s="310" t="s">
        <v>96</v>
      </c>
      <c r="I262" s="227">
        <v>21.16</v>
      </c>
      <c r="J262" s="395">
        <f>ROUND(G262*I262,2)</f>
        <v>190.44</v>
      </c>
    </row>
    <row r="263" spans="1:10" s="16" customFormat="1" ht="15" customHeight="1">
      <c r="A263" s="385" t="s">
        <v>191</v>
      </c>
      <c r="B263" s="1331" t="s">
        <v>193</v>
      </c>
      <c r="C263" s="1332"/>
      <c r="D263" s="1332"/>
      <c r="E263" s="1332"/>
      <c r="F263" s="1333"/>
      <c r="G263" s="205">
        <f>G219-G221</f>
        <v>105.9</v>
      </c>
      <c r="H263" s="310" t="s">
        <v>96</v>
      </c>
      <c r="I263" s="227">
        <v>14.49</v>
      </c>
      <c r="J263" s="395">
        <f>ROUND(G263*I263,2)</f>
        <v>1534.49</v>
      </c>
    </row>
    <row r="264" spans="1:10" s="16" customFormat="1" ht="9" customHeight="1">
      <c r="A264" s="355"/>
      <c r="B264" s="338"/>
      <c r="C264" s="340"/>
      <c r="D264" s="340"/>
      <c r="E264" s="340"/>
      <c r="F264" s="339"/>
      <c r="G264" s="311"/>
      <c r="H264" s="310"/>
      <c r="I264" s="310"/>
      <c r="J264" s="422"/>
    </row>
    <row r="265" spans="1:10" s="16" customFormat="1" ht="12" customHeight="1">
      <c r="A265" s="439">
        <v>11</v>
      </c>
      <c r="B265" s="1310" t="s">
        <v>195</v>
      </c>
      <c r="C265" s="1311"/>
      <c r="D265" s="1311"/>
      <c r="E265" s="1311"/>
      <c r="F265" s="1312"/>
      <c r="G265" s="182"/>
      <c r="H265" s="189"/>
      <c r="I265" s="189"/>
      <c r="J265" s="384">
        <f>SUM(J266:J273)</f>
        <v>6315.76</v>
      </c>
    </row>
    <row r="266" spans="1:10" s="16" customFormat="1" ht="13.5" customHeight="1">
      <c r="A266" s="423" t="s">
        <v>197</v>
      </c>
      <c r="B266" s="1331" t="s">
        <v>196</v>
      </c>
      <c r="C266" s="1332"/>
      <c r="D266" s="1332"/>
      <c r="E266" s="1332"/>
      <c r="F266" s="1333"/>
      <c r="G266" s="217">
        <v>4.8</v>
      </c>
      <c r="H266" s="310" t="s">
        <v>96</v>
      </c>
      <c r="I266" s="227">
        <v>146.81</v>
      </c>
      <c r="J266" s="395">
        <f>ROUND(G266*I266,2)</f>
        <v>704.69</v>
      </c>
    </row>
    <row r="267" spans="1:10" s="16" customFormat="1" ht="15" customHeight="1">
      <c r="A267" s="423" t="s">
        <v>338</v>
      </c>
      <c r="B267" s="1514" t="s">
        <v>165</v>
      </c>
      <c r="C267" s="1515"/>
      <c r="D267" s="1515"/>
      <c r="E267" s="1515"/>
      <c r="F267" s="1516"/>
      <c r="G267" s="236">
        <v>2</v>
      </c>
      <c r="H267" s="237" t="s">
        <v>189</v>
      </c>
      <c r="I267" s="238">
        <v>193.04</v>
      </c>
      <c r="J267" s="395">
        <f t="shared" ref="J267:J273" si="9">ROUND(G267*I267,2)</f>
        <v>386.08</v>
      </c>
    </row>
    <row r="268" spans="1:10" s="16" customFormat="1" ht="28.9" customHeight="1" thickBot="1">
      <c r="A268" s="440" t="s">
        <v>339</v>
      </c>
      <c r="B268" s="1517" t="s">
        <v>180</v>
      </c>
      <c r="C268" s="1518"/>
      <c r="D268" s="1518"/>
      <c r="E268" s="1518"/>
      <c r="F268" s="1519"/>
      <c r="G268" s="441">
        <v>2</v>
      </c>
      <c r="H268" s="442" t="s">
        <v>80</v>
      </c>
      <c r="I268" s="443">
        <v>169.47</v>
      </c>
      <c r="J268" s="431">
        <f t="shared" si="9"/>
        <v>338.94</v>
      </c>
    </row>
    <row r="269" spans="1:10" s="16" customFormat="1" ht="15" customHeight="1" thickTop="1">
      <c r="A269" s="347"/>
      <c r="B269" s="492"/>
      <c r="C269" s="492"/>
      <c r="D269" s="492"/>
      <c r="E269" s="492"/>
      <c r="F269" s="492"/>
      <c r="G269" s="493"/>
      <c r="H269" s="494"/>
      <c r="I269" s="495"/>
      <c r="J269" s="491"/>
    </row>
    <row r="270" spans="1:10" s="16" customFormat="1" ht="15" customHeight="1" thickBot="1">
      <c r="A270" s="399"/>
      <c r="B270" s="444"/>
      <c r="C270" s="444"/>
      <c r="D270" s="444"/>
      <c r="E270" s="444"/>
      <c r="F270" s="444"/>
      <c r="G270" s="445"/>
      <c r="H270" s="446"/>
      <c r="I270" s="447"/>
      <c r="J270" s="448"/>
    </row>
    <row r="271" spans="1:10" s="16" customFormat="1" ht="15" customHeight="1" thickTop="1">
      <c r="A271" s="435" t="s">
        <v>340</v>
      </c>
      <c r="B271" s="1520" t="s">
        <v>181</v>
      </c>
      <c r="C271" s="1521"/>
      <c r="D271" s="1521"/>
      <c r="E271" s="1521"/>
      <c r="F271" s="1522"/>
      <c r="G271" s="449">
        <v>2</v>
      </c>
      <c r="H271" s="450" t="s">
        <v>80</v>
      </c>
      <c r="I271" s="451">
        <v>472.57</v>
      </c>
      <c r="J271" s="438">
        <f t="shared" si="9"/>
        <v>945.14</v>
      </c>
    </row>
    <row r="272" spans="1:10" s="16" customFormat="1" ht="15" customHeight="1">
      <c r="A272" s="423" t="s">
        <v>341</v>
      </c>
      <c r="B272" s="1523" t="s">
        <v>182</v>
      </c>
      <c r="C272" s="1524"/>
      <c r="D272" s="1524"/>
      <c r="E272" s="1524"/>
      <c r="F272" s="1525"/>
      <c r="G272" s="236">
        <v>20</v>
      </c>
      <c r="H272" s="237" t="s">
        <v>96</v>
      </c>
      <c r="I272" s="238">
        <v>169.75</v>
      </c>
      <c r="J272" s="395">
        <f t="shared" si="9"/>
        <v>3395</v>
      </c>
    </row>
    <row r="273" spans="1:10" s="16" customFormat="1" ht="15" customHeight="1">
      <c r="A273" s="423" t="s">
        <v>342</v>
      </c>
      <c r="B273" s="1514" t="s">
        <v>183</v>
      </c>
      <c r="C273" s="1515"/>
      <c r="D273" s="1515"/>
      <c r="E273" s="1515"/>
      <c r="F273" s="1516"/>
      <c r="G273" s="236">
        <v>3</v>
      </c>
      <c r="H273" s="237" t="s">
        <v>80</v>
      </c>
      <c r="I273" s="238">
        <v>181.97</v>
      </c>
      <c r="J273" s="395">
        <f t="shared" si="9"/>
        <v>545.91</v>
      </c>
    </row>
    <row r="274" spans="1:10" s="16" customFormat="1" ht="12" customHeight="1">
      <c r="A274" s="397"/>
      <c r="B274" s="1514"/>
      <c r="C274" s="1515"/>
      <c r="D274" s="1515"/>
      <c r="E274" s="1515"/>
      <c r="F274" s="1516"/>
      <c r="G274" s="236"/>
      <c r="H274" s="237"/>
      <c r="I274" s="238"/>
      <c r="J274" s="395"/>
    </row>
    <row r="275" spans="1:10" s="16" customFormat="1" ht="13.9" customHeight="1">
      <c r="A275" s="416"/>
      <c r="B275" s="293"/>
      <c r="C275" s="293"/>
      <c r="D275" s="293"/>
      <c r="E275" s="293"/>
      <c r="F275" s="293"/>
      <c r="G275" s="264"/>
      <c r="H275" s="215" t="s">
        <v>286</v>
      </c>
      <c r="I275" s="216"/>
      <c r="J275" s="384">
        <f>J265+J261+J241+J226+J217+J212+J209+J204+J200+J192+J189</f>
        <v>45636.789999999994</v>
      </c>
    </row>
    <row r="276" spans="1:10" s="16" customFormat="1" ht="11.45" customHeight="1">
      <c r="A276" s="364"/>
      <c r="B276" s="335"/>
      <c r="C276" s="335"/>
      <c r="D276" s="335"/>
      <c r="E276" s="335"/>
      <c r="F276" s="335"/>
      <c r="G276" s="294"/>
      <c r="H276" s="254"/>
      <c r="I276" s="255"/>
      <c r="J276" s="452"/>
    </row>
    <row r="277" spans="1:10" s="154" customFormat="1" ht="13.9" customHeight="1">
      <c r="A277" s="1365" t="s">
        <v>392</v>
      </c>
      <c r="B277" s="1366"/>
      <c r="C277" s="1366"/>
      <c r="D277" s="1366"/>
      <c r="E277" s="1366"/>
      <c r="F277" s="1366"/>
      <c r="G277" s="1366"/>
      <c r="H277" s="1366"/>
      <c r="I277" s="1366"/>
      <c r="J277" s="1367"/>
    </row>
    <row r="278" spans="1:10" s="16" customFormat="1" ht="13.9" customHeight="1">
      <c r="A278" s="380" t="s">
        <v>406</v>
      </c>
      <c r="B278" s="1301" t="s">
        <v>315</v>
      </c>
      <c r="C278" s="1302"/>
      <c r="D278" s="1302"/>
      <c r="E278" s="1302"/>
      <c r="F278" s="1303"/>
      <c r="G278" s="319"/>
      <c r="H278" s="318"/>
      <c r="I278" s="318"/>
      <c r="J278" s="453">
        <f>SUM(J279:J281)</f>
        <v>3069.7178000000004</v>
      </c>
    </row>
    <row r="279" spans="1:10" s="154" customFormat="1" ht="26.45" customHeight="1">
      <c r="A279" s="385" t="s">
        <v>37</v>
      </c>
      <c r="B279" s="1330" t="s">
        <v>93</v>
      </c>
      <c r="C279" s="1330"/>
      <c r="D279" s="1330"/>
      <c r="E279" s="1330"/>
      <c r="F279" s="1330"/>
      <c r="G279" s="205">
        <v>106.24</v>
      </c>
      <c r="H279" s="310" t="s">
        <v>96</v>
      </c>
      <c r="I279" s="227">
        <v>1.62</v>
      </c>
      <c r="J279" s="454">
        <f>SUM(G279*I279)</f>
        <v>172.1088</v>
      </c>
    </row>
    <row r="280" spans="1:10" s="154" customFormat="1" ht="13.9" customHeight="1">
      <c r="A280" s="385" t="s">
        <v>39</v>
      </c>
      <c r="B280" s="1331" t="s">
        <v>94</v>
      </c>
      <c r="C280" s="1332"/>
      <c r="D280" s="1332"/>
      <c r="E280" s="1332"/>
      <c r="F280" s="1333"/>
      <c r="G280" s="205">
        <v>6.38</v>
      </c>
      <c r="H280" s="310" t="s">
        <v>92</v>
      </c>
      <c r="I280" s="227">
        <v>219.55</v>
      </c>
      <c r="J280" s="454">
        <f>SUM(G280*I280)</f>
        <v>1400.729</v>
      </c>
    </row>
    <row r="281" spans="1:10" s="154" customFormat="1" ht="13.9" customHeight="1">
      <c r="A281" s="355" t="s">
        <v>345</v>
      </c>
      <c r="B281" s="1291" t="s">
        <v>370</v>
      </c>
      <c r="C281" s="1292"/>
      <c r="D281" s="1292"/>
      <c r="E281" s="1292"/>
      <c r="F281" s="1334"/>
      <c r="G281" s="300">
        <f>19.76+21.42+84.82</f>
        <v>126</v>
      </c>
      <c r="H281" s="310" t="s">
        <v>96</v>
      </c>
      <c r="I281" s="228">
        <v>11.88</v>
      </c>
      <c r="J281" s="454">
        <f>SUM(G281*I281)</f>
        <v>1496.88</v>
      </c>
    </row>
    <row r="282" spans="1:10" s="154" customFormat="1" ht="13.9" customHeight="1">
      <c r="A282" s="455"/>
      <c r="B282" s="261"/>
      <c r="C282" s="261"/>
      <c r="D282" s="261"/>
      <c r="E282" s="261"/>
      <c r="F282" s="261"/>
      <c r="G282" s="262"/>
      <c r="H282" s="261"/>
      <c r="I282" s="261"/>
      <c r="J282" s="456"/>
    </row>
    <row r="283" spans="1:10" s="154" customFormat="1" ht="13.9" customHeight="1">
      <c r="A283" s="380" t="s">
        <v>405</v>
      </c>
      <c r="B283" s="1322" t="s">
        <v>116</v>
      </c>
      <c r="C283" s="1322"/>
      <c r="D283" s="1322"/>
      <c r="E283" s="1322"/>
      <c r="F283" s="1322"/>
      <c r="G283" s="319"/>
      <c r="H283" s="318"/>
      <c r="I283" s="318"/>
      <c r="J283" s="453">
        <f>SUM(J284)</f>
        <v>1121.3</v>
      </c>
    </row>
    <row r="284" spans="1:10" s="154" customFormat="1" ht="13.9" customHeight="1">
      <c r="A284" s="397" t="s">
        <v>84</v>
      </c>
      <c r="B284" s="1313" t="s">
        <v>336</v>
      </c>
      <c r="C284" s="1314"/>
      <c r="D284" s="1314"/>
      <c r="E284" s="1314"/>
      <c r="F284" s="1315"/>
      <c r="G284" s="201">
        <v>1</v>
      </c>
      <c r="H284" s="186" t="s">
        <v>80</v>
      </c>
      <c r="I284" s="263">
        <v>1121.3</v>
      </c>
      <c r="J284" s="454">
        <f>SUM(G284*I284)</f>
        <v>1121.3</v>
      </c>
    </row>
    <row r="285" spans="1:10" s="154" customFormat="1" ht="10.9" customHeight="1">
      <c r="A285" s="455"/>
      <c r="B285" s="261"/>
      <c r="C285" s="261"/>
      <c r="D285" s="261"/>
      <c r="E285" s="261"/>
      <c r="F285" s="261"/>
      <c r="G285" s="262"/>
      <c r="H285" s="261"/>
      <c r="I285" s="261"/>
      <c r="J285" s="456"/>
    </row>
    <row r="286" spans="1:10" s="154" customFormat="1" ht="13.9" customHeight="1">
      <c r="A286" s="380" t="s">
        <v>407</v>
      </c>
      <c r="B286" s="1310" t="s">
        <v>195</v>
      </c>
      <c r="C286" s="1311"/>
      <c r="D286" s="1311"/>
      <c r="E286" s="1311"/>
      <c r="F286" s="1312"/>
      <c r="G286" s="319"/>
      <c r="H286" s="318"/>
      <c r="I286" s="318"/>
      <c r="J286" s="453">
        <f>SUM(J287:J288)</f>
        <v>5285.52</v>
      </c>
    </row>
    <row r="287" spans="1:10" s="154" customFormat="1" ht="13.9" customHeight="1">
      <c r="A287" s="423" t="s">
        <v>54</v>
      </c>
      <c r="B287" s="1313" t="s">
        <v>344</v>
      </c>
      <c r="C287" s="1314"/>
      <c r="D287" s="1314"/>
      <c r="E287" s="1314"/>
      <c r="F287" s="1315"/>
      <c r="G287" s="201">
        <v>9</v>
      </c>
      <c r="H287" s="186" t="s">
        <v>96</v>
      </c>
      <c r="I287" s="235">
        <v>541.22</v>
      </c>
      <c r="J287" s="457">
        <f>SUM(G287*I287)</f>
        <v>4870.9800000000005</v>
      </c>
    </row>
    <row r="288" spans="1:10" s="154" customFormat="1" ht="13.9" customHeight="1">
      <c r="A288" s="423" t="s">
        <v>95</v>
      </c>
      <c r="B288" s="1313" t="s">
        <v>369</v>
      </c>
      <c r="C288" s="1314"/>
      <c r="D288" s="1314"/>
      <c r="E288" s="1314"/>
      <c r="F288" s="1315"/>
      <c r="G288" s="201">
        <v>18</v>
      </c>
      <c r="H288" s="186" t="s">
        <v>96</v>
      </c>
      <c r="I288" s="235">
        <v>23.03</v>
      </c>
      <c r="J288" s="457">
        <f>SUM(G288*I288)</f>
        <v>414.54</v>
      </c>
    </row>
    <row r="289" spans="1:11" s="154" customFormat="1" ht="11.45" customHeight="1">
      <c r="A289" s="458"/>
      <c r="B289" s="327"/>
      <c r="C289" s="328"/>
      <c r="D289" s="328"/>
      <c r="E289" s="328"/>
      <c r="F289" s="329"/>
      <c r="G289" s="201"/>
      <c r="H289" s="186"/>
      <c r="I289" s="235"/>
      <c r="J289" s="457"/>
    </row>
    <row r="290" spans="1:11" s="154" customFormat="1" ht="13.9" customHeight="1">
      <c r="A290" s="416"/>
      <c r="B290" s="293"/>
      <c r="C290" s="293"/>
      <c r="D290" s="293"/>
      <c r="E290" s="293"/>
      <c r="F290" s="293"/>
      <c r="G290" s="264"/>
      <c r="H290" s="215" t="s">
        <v>286</v>
      </c>
      <c r="I290" s="216"/>
      <c r="J290" s="459">
        <f>SUM(J278+J283+J286)</f>
        <v>9476.5378000000019</v>
      </c>
    </row>
    <row r="291" spans="1:11" s="16" customFormat="1" ht="12.6" customHeight="1">
      <c r="A291" s="460"/>
      <c r="B291" s="335"/>
      <c r="C291" s="335"/>
      <c r="D291" s="335"/>
      <c r="E291" s="335"/>
      <c r="F291" s="335"/>
      <c r="G291" s="294"/>
      <c r="H291" s="254"/>
      <c r="I291" s="255"/>
      <c r="J291" s="461"/>
    </row>
    <row r="292" spans="1:11" s="16" customFormat="1" ht="13.9" customHeight="1">
      <c r="A292" s="1365" t="s">
        <v>401</v>
      </c>
      <c r="B292" s="1366"/>
      <c r="C292" s="1366"/>
      <c r="D292" s="1366"/>
      <c r="E292" s="1366"/>
      <c r="F292" s="1366"/>
      <c r="G292" s="1366"/>
      <c r="H292" s="1366"/>
      <c r="I292" s="1366"/>
      <c r="J292" s="1367"/>
    </row>
    <row r="293" spans="1:11" s="16" customFormat="1" ht="13.9" customHeight="1">
      <c r="A293" s="380">
        <v>1</v>
      </c>
      <c r="B293" s="1301" t="s">
        <v>91</v>
      </c>
      <c r="C293" s="1302"/>
      <c r="D293" s="1302"/>
      <c r="E293" s="1302"/>
      <c r="F293" s="1303"/>
      <c r="G293" s="221"/>
      <c r="H293" s="222"/>
      <c r="I293" s="223"/>
      <c r="J293" s="419">
        <f>SUM(J294:J298)</f>
        <v>6087.4376000000002</v>
      </c>
    </row>
    <row r="294" spans="1:11" s="16" customFormat="1" ht="13.9" customHeight="1">
      <c r="A294" s="397" t="s">
        <v>37</v>
      </c>
      <c r="B294" s="1313" t="s">
        <v>85</v>
      </c>
      <c r="C294" s="1314"/>
      <c r="D294" s="1314"/>
      <c r="E294" s="1314"/>
      <c r="F294" s="1315"/>
      <c r="G294" s="201">
        <v>4.4400000000000004</v>
      </c>
      <c r="H294" s="186" t="s">
        <v>92</v>
      </c>
      <c r="I294" s="235">
        <v>31.05</v>
      </c>
      <c r="J294" s="390">
        <f>G294*I294</f>
        <v>137.86200000000002</v>
      </c>
    </row>
    <row r="295" spans="1:11" s="16" customFormat="1" ht="13.9" customHeight="1">
      <c r="A295" s="397" t="s">
        <v>39</v>
      </c>
      <c r="B295" s="1319" t="s">
        <v>49</v>
      </c>
      <c r="C295" s="1320"/>
      <c r="D295" s="1320"/>
      <c r="E295" s="1320"/>
      <c r="F295" s="1321"/>
      <c r="G295" s="201">
        <v>68</v>
      </c>
      <c r="H295" s="186" t="s">
        <v>52</v>
      </c>
      <c r="I295" s="235">
        <v>36.01</v>
      </c>
      <c r="J295" s="390">
        <f t="shared" ref="J295:J298" si="10">G295*I295</f>
        <v>2448.6799999999998</v>
      </c>
    </row>
    <row r="296" spans="1:11" s="16" customFormat="1" ht="13.9" customHeight="1">
      <c r="A296" s="397" t="s">
        <v>345</v>
      </c>
      <c r="B296" s="242" t="s">
        <v>87</v>
      </c>
      <c r="C296" s="328"/>
      <c r="D296" s="328"/>
      <c r="E296" s="328"/>
      <c r="F296" s="329"/>
      <c r="G296" s="201">
        <v>399.6</v>
      </c>
      <c r="H296" s="186" t="s">
        <v>50</v>
      </c>
      <c r="I296" s="235">
        <v>5.01</v>
      </c>
      <c r="J296" s="390">
        <f t="shared" si="10"/>
        <v>2001.9960000000001</v>
      </c>
    </row>
    <row r="297" spans="1:11" s="16" customFormat="1" ht="13.9" customHeight="1">
      <c r="A297" s="397" t="s">
        <v>347</v>
      </c>
      <c r="B297" s="243" t="s">
        <v>89</v>
      </c>
      <c r="C297" s="328"/>
      <c r="D297" s="328"/>
      <c r="E297" s="328"/>
      <c r="F297" s="329"/>
      <c r="G297" s="201">
        <v>4.4400000000000004</v>
      </c>
      <c r="H297" s="186" t="s">
        <v>92</v>
      </c>
      <c r="I297" s="235">
        <v>250.43</v>
      </c>
      <c r="J297" s="390">
        <f t="shared" si="10"/>
        <v>1111.9092000000001</v>
      </c>
    </row>
    <row r="298" spans="1:11" s="16" customFormat="1" ht="13.9" customHeight="1">
      <c r="A298" s="397" t="s">
        <v>349</v>
      </c>
      <c r="B298" s="242" t="s">
        <v>90</v>
      </c>
      <c r="C298" s="328"/>
      <c r="D298" s="328"/>
      <c r="E298" s="328"/>
      <c r="F298" s="329"/>
      <c r="G298" s="201">
        <v>4.4400000000000004</v>
      </c>
      <c r="H298" s="186" t="s">
        <v>92</v>
      </c>
      <c r="I298" s="235">
        <v>87.16</v>
      </c>
      <c r="J298" s="390">
        <f t="shared" si="10"/>
        <v>386.99040000000002</v>
      </c>
      <c r="K298" s="109"/>
    </row>
    <row r="299" spans="1:11" s="16" customFormat="1" ht="13.9" customHeight="1">
      <c r="A299" s="397"/>
      <c r="B299" s="316"/>
      <c r="C299" s="328"/>
      <c r="D299" s="328"/>
      <c r="E299" s="328"/>
      <c r="F299" s="329"/>
      <c r="G299" s="201"/>
      <c r="H299" s="186"/>
      <c r="I299" s="235"/>
      <c r="J299" s="390"/>
      <c r="K299" s="109"/>
    </row>
    <row r="300" spans="1:11" s="16" customFormat="1" ht="13.9" customHeight="1">
      <c r="A300" s="380">
        <v>2</v>
      </c>
      <c r="B300" s="1301" t="s">
        <v>351</v>
      </c>
      <c r="C300" s="1302"/>
      <c r="D300" s="1302"/>
      <c r="E300" s="1302"/>
      <c r="F300" s="1303"/>
      <c r="G300" s="221"/>
      <c r="H300" s="222"/>
      <c r="I300" s="223"/>
      <c r="J300" s="419">
        <f>SUM(J301:J306)</f>
        <v>10852.02</v>
      </c>
      <c r="K300" s="109"/>
    </row>
    <row r="301" spans="1:11" s="16" customFormat="1" ht="29.45" customHeight="1">
      <c r="A301" s="397" t="s">
        <v>84</v>
      </c>
      <c r="B301" s="1313" t="s">
        <v>352</v>
      </c>
      <c r="C301" s="1314"/>
      <c r="D301" s="1314"/>
      <c r="E301" s="1314"/>
      <c r="F301" s="1315"/>
      <c r="G301" s="244">
        <v>0.45</v>
      </c>
      <c r="H301" s="202" t="s">
        <v>92</v>
      </c>
      <c r="I301" s="245">
        <v>41.4</v>
      </c>
      <c r="J301" s="390">
        <f>ROUND(G301*I301,2)</f>
        <v>18.63</v>
      </c>
      <c r="K301" s="109"/>
    </row>
    <row r="302" spans="1:11" s="16" customFormat="1" ht="13.9" customHeight="1">
      <c r="A302" s="397" t="s">
        <v>43</v>
      </c>
      <c r="B302" s="333" t="s">
        <v>353</v>
      </c>
      <c r="C302" s="328"/>
      <c r="D302" s="328"/>
      <c r="E302" s="328"/>
      <c r="F302" s="329"/>
      <c r="G302" s="201">
        <v>142</v>
      </c>
      <c r="H302" s="186" t="s">
        <v>96</v>
      </c>
      <c r="I302" s="235">
        <v>38.67</v>
      </c>
      <c r="J302" s="390">
        <f t="shared" ref="J302:J306" si="11">ROUND(G302*I302,2)</f>
        <v>5491.14</v>
      </c>
      <c r="K302" s="109"/>
    </row>
    <row r="303" spans="1:11" s="16" customFormat="1" ht="13.9" customHeight="1">
      <c r="A303" s="397" t="s">
        <v>240</v>
      </c>
      <c r="B303" s="333" t="s">
        <v>89</v>
      </c>
      <c r="C303" s="328"/>
      <c r="D303" s="328"/>
      <c r="E303" s="328"/>
      <c r="F303" s="329"/>
      <c r="G303" s="201">
        <v>1.53</v>
      </c>
      <c r="H303" s="186" t="s">
        <v>92</v>
      </c>
      <c r="I303" s="235">
        <v>250.43</v>
      </c>
      <c r="J303" s="390">
        <f t="shared" si="11"/>
        <v>383.16</v>
      </c>
      <c r="K303" s="109"/>
    </row>
    <row r="304" spans="1:11" s="16" customFormat="1" ht="13.9" customHeight="1">
      <c r="A304" s="397" t="s">
        <v>45</v>
      </c>
      <c r="B304" s="333" t="s">
        <v>354</v>
      </c>
      <c r="C304" s="328"/>
      <c r="D304" s="328"/>
      <c r="E304" s="328"/>
      <c r="F304" s="329"/>
      <c r="G304" s="201">
        <v>137.69999999999999</v>
      </c>
      <c r="H304" s="186" t="s">
        <v>50</v>
      </c>
      <c r="I304" s="235">
        <v>5.01</v>
      </c>
      <c r="J304" s="390">
        <f t="shared" si="11"/>
        <v>689.88</v>
      </c>
      <c r="K304" s="109"/>
    </row>
    <row r="305" spans="1:12" s="16" customFormat="1" ht="13.9" customHeight="1">
      <c r="A305" s="397" t="s">
        <v>47</v>
      </c>
      <c r="B305" s="333" t="s">
        <v>321</v>
      </c>
      <c r="C305" s="328"/>
      <c r="D305" s="328"/>
      <c r="E305" s="328"/>
      <c r="F305" s="329"/>
      <c r="G305" s="201">
        <v>1.53</v>
      </c>
      <c r="H305" s="186" t="s">
        <v>92</v>
      </c>
      <c r="I305" s="235">
        <v>60.2</v>
      </c>
      <c r="J305" s="390">
        <f t="shared" si="11"/>
        <v>92.11</v>
      </c>
      <c r="K305" s="109"/>
    </row>
    <row r="306" spans="1:12" s="16" customFormat="1" ht="13.9" customHeight="1">
      <c r="A306" s="397" t="s">
        <v>48</v>
      </c>
      <c r="B306" s="333" t="s">
        <v>323</v>
      </c>
      <c r="C306" s="328"/>
      <c r="D306" s="328"/>
      <c r="E306" s="328"/>
      <c r="F306" s="329"/>
      <c r="G306" s="201">
        <v>40.799999999999997</v>
      </c>
      <c r="H306" s="186" t="s">
        <v>96</v>
      </c>
      <c r="I306" s="235">
        <v>102.38</v>
      </c>
      <c r="J306" s="390">
        <f t="shared" si="11"/>
        <v>4177.1000000000004</v>
      </c>
      <c r="K306" s="109"/>
    </row>
    <row r="307" spans="1:12" s="16" customFormat="1" ht="13.9" customHeight="1">
      <c r="A307" s="397"/>
      <c r="B307" s="323"/>
      <c r="C307" s="199"/>
      <c r="D307" s="199"/>
      <c r="E307" s="199"/>
      <c r="F307" s="200"/>
      <c r="G307" s="201"/>
      <c r="H307" s="202"/>
      <c r="I307" s="235"/>
      <c r="J307" s="390"/>
      <c r="K307" s="109"/>
    </row>
    <row r="308" spans="1:12" s="16" customFormat="1" ht="13.9" customHeight="1">
      <c r="A308" s="380">
        <v>3</v>
      </c>
      <c r="B308" s="1301" t="s">
        <v>208</v>
      </c>
      <c r="C308" s="1302"/>
      <c r="D308" s="1302"/>
      <c r="E308" s="1302"/>
      <c r="F308" s="1303"/>
      <c r="G308" s="221"/>
      <c r="H308" s="222"/>
      <c r="I308" s="223"/>
      <c r="J308" s="419">
        <f>SUM(J309:J310)</f>
        <v>4322.4799999999996</v>
      </c>
      <c r="K308" s="109"/>
    </row>
    <row r="309" spans="1:12" s="16" customFormat="1" ht="13.9" customHeight="1">
      <c r="A309" s="397" t="s">
        <v>54</v>
      </c>
      <c r="B309" s="333" t="s">
        <v>65</v>
      </c>
      <c r="C309" s="328"/>
      <c r="D309" s="328"/>
      <c r="E309" s="328"/>
      <c r="F309" s="329"/>
      <c r="G309" s="201">
        <v>284</v>
      </c>
      <c r="H309" s="186" t="s">
        <v>96</v>
      </c>
      <c r="I309" s="235">
        <v>3.85</v>
      </c>
      <c r="J309" s="390">
        <f>G309*I309</f>
        <v>1093.4000000000001</v>
      </c>
      <c r="K309" s="109"/>
    </row>
    <row r="310" spans="1:12" s="16" customFormat="1" ht="13.9" customHeight="1">
      <c r="A310" s="397" t="s">
        <v>95</v>
      </c>
      <c r="B310" s="333" t="s">
        <v>66</v>
      </c>
      <c r="C310" s="328"/>
      <c r="D310" s="328"/>
      <c r="E310" s="328"/>
      <c r="F310" s="329"/>
      <c r="G310" s="201">
        <v>284</v>
      </c>
      <c r="H310" s="186" t="s">
        <v>96</v>
      </c>
      <c r="I310" s="235">
        <v>11.37</v>
      </c>
      <c r="J310" s="390">
        <f>G310*I310</f>
        <v>3229.08</v>
      </c>
      <c r="K310" s="109"/>
    </row>
    <row r="311" spans="1:12" s="16" customFormat="1" ht="13.9" customHeight="1">
      <c r="A311" s="397"/>
      <c r="B311" s="316"/>
      <c r="C311" s="328"/>
      <c r="D311" s="328"/>
      <c r="E311" s="328"/>
      <c r="F311" s="329"/>
      <c r="G311" s="201"/>
      <c r="H311" s="186"/>
      <c r="I311" s="235"/>
      <c r="J311" s="390"/>
      <c r="K311" s="109"/>
    </row>
    <row r="312" spans="1:12" s="16" customFormat="1" ht="13.9" customHeight="1">
      <c r="A312" s="380">
        <v>4</v>
      </c>
      <c r="B312" s="1301" t="s">
        <v>350</v>
      </c>
      <c r="C312" s="1302"/>
      <c r="D312" s="1302"/>
      <c r="E312" s="1302"/>
      <c r="F312" s="1303"/>
      <c r="G312" s="221"/>
      <c r="H312" s="222"/>
      <c r="I312" s="223"/>
      <c r="J312" s="419">
        <f>J313</f>
        <v>4115.16</v>
      </c>
      <c r="K312" s="109"/>
    </row>
    <row r="313" spans="1:12" s="16" customFormat="1" ht="13.9" customHeight="1">
      <c r="A313" s="397" t="s">
        <v>58</v>
      </c>
      <c r="B313" s="333" t="s">
        <v>193</v>
      </c>
      <c r="C313" s="328"/>
      <c r="D313" s="328"/>
      <c r="E313" s="328"/>
      <c r="F313" s="329"/>
      <c r="G313" s="201">
        <v>284</v>
      </c>
      <c r="H313" s="186" t="s">
        <v>96</v>
      </c>
      <c r="I313" s="235">
        <v>14.49</v>
      </c>
      <c r="J313" s="390">
        <f>G313*I313</f>
        <v>4115.16</v>
      </c>
      <c r="K313" s="109"/>
    </row>
    <row r="314" spans="1:12" s="16" customFormat="1" ht="13.9" customHeight="1">
      <c r="A314" s="397"/>
      <c r="B314" s="316"/>
      <c r="C314" s="328"/>
      <c r="D314" s="328"/>
      <c r="E314" s="328"/>
      <c r="F314" s="329"/>
      <c r="G314" s="201"/>
      <c r="H314" s="186"/>
      <c r="I314" s="235"/>
      <c r="J314" s="390"/>
      <c r="K314" s="109"/>
    </row>
    <row r="315" spans="1:12" s="16" customFormat="1" ht="11.45" customHeight="1">
      <c r="A315" s="416"/>
      <c r="B315" s="293"/>
      <c r="C315" s="293"/>
      <c r="D315" s="293"/>
      <c r="E315" s="293"/>
      <c r="F315" s="293"/>
      <c r="G315" s="264"/>
      <c r="H315" s="215" t="s">
        <v>286</v>
      </c>
      <c r="I315" s="216"/>
      <c r="J315" s="384">
        <f>J293+J300+J308+J312</f>
        <v>25377.097600000001</v>
      </c>
      <c r="K315" s="109"/>
    </row>
    <row r="316" spans="1:12" s="16" customFormat="1" ht="11.45" customHeight="1">
      <c r="A316" s="397"/>
      <c r="B316" s="316"/>
      <c r="C316" s="328"/>
      <c r="D316" s="328"/>
      <c r="E316" s="328"/>
      <c r="F316" s="329"/>
      <c r="G316" s="201"/>
      <c r="H316" s="186"/>
      <c r="I316" s="235"/>
      <c r="J316" s="390"/>
      <c r="K316" s="109"/>
    </row>
    <row r="317" spans="1:12" s="16" customFormat="1" ht="13.9" customHeight="1">
      <c r="A317" s="1304" t="s">
        <v>21</v>
      </c>
      <c r="B317" s="1305"/>
      <c r="C317" s="1306"/>
      <c r="D317" s="1306"/>
      <c r="E317" s="1306"/>
      <c r="F317" s="1306"/>
      <c r="G317" s="1306"/>
      <c r="H317" s="1306"/>
      <c r="I317" s="246" t="s">
        <v>22</v>
      </c>
      <c r="J317" s="462">
        <f>SUM(J170+J275)</f>
        <v>239055.50799999997</v>
      </c>
      <c r="K317" s="16">
        <v>1</v>
      </c>
      <c r="L317" s="16" t="s">
        <v>322</v>
      </c>
    </row>
    <row r="318" spans="1:12" s="16" customFormat="1" ht="13.9" customHeight="1">
      <c r="A318" s="1304" t="s">
        <v>23</v>
      </c>
      <c r="B318" s="1306"/>
      <c r="C318" s="1306"/>
      <c r="D318" s="1306"/>
      <c r="E318" s="1306"/>
      <c r="F318" s="1306"/>
      <c r="G318" s="1306"/>
      <c r="H318" s="1306"/>
      <c r="I318" s="301" t="s">
        <v>24</v>
      </c>
      <c r="J318" s="463">
        <f>J317-J319</f>
        <v>231999.99799999996</v>
      </c>
    </row>
    <row r="319" spans="1:12" s="16" customFormat="1" ht="13.9" customHeight="1">
      <c r="A319" s="1304" t="s">
        <v>25</v>
      </c>
      <c r="B319" s="1306"/>
      <c r="C319" s="1306"/>
      <c r="D319" s="1306"/>
      <c r="E319" s="1306"/>
      <c r="F319" s="1306"/>
      <c r="G319" s="1306"/>
      <c r="H319" s="1306"/>
      <c r="I319" s="301" t="s">
        <v>26</v>
      </c>
      <c r="J319" s="463">
        <v>7055.51</v>
      </c>
    </row>
    <row r="320" spans="1:12" s="16" customFormat="1" ht="13.9" customHeight="1">
      <c r="A320" s="455"/>
      <c r="B320" s="261"/>
      <c r="C320" s="261"/>
      <c r="D320" s="302"/>
      <c r="E320" s="261"/>
      <c r="F320" s="261"/>
      <c r="G320" s="261"/>
      <c r="H320" s="303"/>
      <c r="I320" s="304"/>
      <c r="J320" s="464"/>
    </row>
    <row r="321" spans="1:15" s="16" customFormat="1" ht="13.9" customHeight="1">
      <c r="A321" s="1304" t="s">
        <v>426</v>
      </c>
      <c r="B321" s="1306"/>
      <c r="C321" s="1306"/>
      <c r="D321" s="1306"/>
      <c r="E321" s="1306"/>
      <c r="F321" s="1306"/>
      <c r="G321" s="1306"/>
      <c r="H321" s="1306"/>
      <c r="I321" s="246" t="s">
        <v>22</v>
      </c>
      <c r="J321" s="462">
        <f>SUM(J186+J290+J315)</f>
        <v>59512.755800000006</v>
      </c>
      <c r="K321" s="154"/>
    </row>
    <row r="322" spans="1:15" s="16" customFormat="1" ht="13.9" customHeight="1">
      <c r="A322" s="1304" t="s">
        <v>23</v>
      </c>
      <c r="B322" s="1306"/>
      <c r="C322" s="1306"/>
      <c r="D322" s="1306"/>
      <c r="E322" s="1306"/>
      <c r="F322" s="1306"/>
      <c r="G322" s="1306"/>
      <c r="H322" s="1306"/>
      <c r="I322" s="301" t="s">
        <v>24</v>
      </c>
      <c r="J322" s="463">
        <f>J321-J323</f>
        <v>59512.755800000006</v>
      </c>
      <c r="K322" s="154"/>
    </row>
    <row r="323" spans="1:15" s="16" customFormat="1" ht="13.9" customHeight="1">
      <c r="A323" s="1304" t="s">
        <v>25</v>
      </c>
      <c r="B323" s="1306"/>
      <c r="C323" s="1306"/>
      <c r="D323" s="1306"/>
      <c r="E323" s="1306"/>
      <c r="F323" s="1306"/>
      <c r="G323" s="1306"/>
      <c r="H323" s="1306"/>
      <c r="I323" s="301" t="s">
        <v>26</v>
      </c>
      <c r="J323" s="465">
        <v>0</v>
      </c>
      <c r="K323" s="154"/>
    </row>
    <row r="324" spans="1:15" s="16" customFormat="1" ht="16.899999999999999" customHeight="1">
      <c r="A324" s="1458" t="s">
        <v>27</v>
      </c>
      <c r="B324" s="1459"/>
      <c r="C324" s="1459"/>
      <c r="D324" s="1462" t="s">
        <v>375</v>
      </c>
      <c r="E324" s="1462"/>
      <c r="F324" s="1462"/>
      <c r="G324" s="1462"/>
      <c r="H324" s="1462"/>
      <c r="I324" s="1462"/>
      <c r="J324" s="1463"/>
      <c r="K324" s="154"/>
    </row>
    <row r="325" spans="1:15" s="16" customFormat="1" ht="13.9" customHeight="1" thickBot="1">
      <c r="A325" s="1460" t="s">
        <v>332</v>
      </c>
      <c r="B325" s="1461"/>
      <c r="C325" s="1461"/>
      <c r="D325" s="1464" t="s">
        <v>28</v>
      </c>
      <c r="E325" s="1465"/>
      <c r="F325" s="1465"/>
      <c r="G325" s="1465"/>
      <c r="H325" s="1465"/>
      <c r="I325" s="1465"/>
      <c r="J325" s="1466"/>
    </row>
    <row r="326" spans="1:15" s="16" customFormat="1" ht="20.45" customHeight="1" thickTop="1">
      <c r="A326" s="489"/>
      <c r="B326" s="489"/>
      <c r="C326" s="489"/>
      <c r="D326" s="489"/>
      <c r="E326" s="489"/>
      <c r="F326" s="489"/>
      <c r="G326" s="490"/>
      <c r="H326" s="347"/>
      <c r="I326" s="348"/>
      <c r="J326" s="346"/>
    </row>
    <row r="327" spans="1:15" s="16" customFormat="1" ht="12" customHeight="1" thickBot="1">
      <c r="A327" s="466"/>
      <c r="B327" s="466"/>
      <c r="C327" s="466"/>
      <c r="D327" s="466"/>
      <c r="E327" s="466"/>
      <c r="F327" s="466"/>
      <c r="G327" s="398"/>
      <c r="H327" s="399"/>
      <c r="I327" s="400"/>
      <c r="J327" s="401"/>
    </row>
    <row r="328" spans="1:15" s="16" customFormat="1" ht="13.5" customHeight="1" thickTop="1">
      <c r="A328" s="1544" t="s">
        <v>29</v>
      </c>
      <c r="B328" s="1545"/>
      <c r="C328" s="1545"/>
      <c r="D328" s="1545"/>
      <c r="E328" s="1545"/>
      <c r="F328" s="1545"/>
      <c r="G328" s="1545"/>
      <c r="H328" s="1545"/>
      <c r="I328" s="1545"/>
      <c r="J328" s="1546"/>
    </row>
    <row r="329" spans="1:15" s="16" customFormat="1" ht="13.5" customHeight="1">
      <c r="A329" s="1528" t="s">
        <v>376</v>
      </c>
      <c r="B329" s="1294"/>
      <c r="C329" s="1294"/>
      <c r="D329" s="1294"/>
      <c r="E329" s="1294"/>
      <c r="F329" s="1294"/>
      <c r="G329" s="1294"/>
      <c r="H329" s="1294"/>
      <c r="I329" s="1294"/>
      <c r="J329" s="1433"/>
    </row>
    <row r="330" spans="1:15" s="16" customFormat="1" ht="13.5" customHeight="1">
      <c r="A330" s="1476" t="s">
        <v>204</v>
      </c>
      <c r="B330" s="1534" t="s">
        <v>203</v>
      </c>
      <c r="C330" s="1535"/>
      <c r="D330" s="1535"/>
      <c r="E330" s="1535"/>
      <c r="F330" s="1536"/>
      <c r="G330" s="1532" t="s">
        <v>202</v>
      </c>
      <c r="H330" s="1326" t="s">
        <v>198</v>
      </c>
      <c r="I330" s="1326"/>
      <c r="J330" s="1547" t="s">
        <v>199</v>
      </c>
    </row>
    <row r="331" spans="1:15" s="17" customFormat="1" ht="13.5" customHeight="1">
      <c r="A331" s="1477"/>
      <c r="B331" s="1537"/>
      <c r="C331" s="1538"/>
      <c r="D331" s="1538"/>
      <c r="E331" s="1538"/>
      <c r="F331" s="1539"/>
      <c r="G331" s="1533"/>
      <c r="H331" s="248" t="s">
        <v>200</v>
      </c>
      <c r="I331" s="314" t="s">
        <v>201</v>
      </c>
      <c r="J331" s="1547"/>
    </row>
    <row r="332" spans="1:15" s="17" customFormat="1" ht="13.5" customHeight="1">
      <c r="A332" s="1526" t="s">
        <v>205</v>
      </c>
      <c r="B332" s="1317"/>
      <c r="C332" s="1317"/>
      <c r="D332" s="1317"/>
      <c r="E332" s="1317"/>
      <c r="F332" s="1317"/>
      <c r="G332" s="1317"/>
      <c r="H332" s="1317"/>
      <c r="I332" s="1317"/>
      <c r="J332" s="1527"/>
    </row>
    <row r="333" spans="1:15" s="17" customFormat="1" ht="13.5" customHeight="1">
      <c r="A333" s="468">
        <v>1</v>
      </c>
      <c r="B333" s="1443" t="s">
        <v>36</v>
      </c>
      <c r="C333" s="1443"/>
      <c r="D333" s="1443"/>
      <c r="E333" s="1443"/>
      <c r="F333" s="1443"/>
      <c r="G333" s="247"/>
      <c r="H333" s="268">
        <f>ROUND($H$354*J333,2)-0.01</f>
        <v>3166.29</v>
      </c>
      <c r="I333" s="269">
        <f>ROUND(J333*$I$354,2)+0.01</f>
        <v>96.300000000000011</v>
      </c>
      <c r="J333" s="469">
        <f>J140</f>
        <v>3262.5880000000002</v>
      </c>
      <c r="L333" s="267">
        <v>4378.8971999999994</v>
      </c>
      <c r="M333" s="17" t="s">
        <v>314</v>
      </c>
    </row>
    <row r="334" spans="1:15" s="17" customFormat="1" ht="13.5" customHeight="1">
      <c r="A334" s="468">
        <v>2</v>
      </c>
      <c r="B334" s="1413" t="s">
        <v>42</v>
      </c>
      <c r="C334" s="1413"/>
      <c r="D334" s="1413"/>
      <c r="E334" s="1413"/>
      <c r="F334" s="1413"/>
      <c r="G334" s="310"/>
      <c r="H334" s="268">
        <f>ROUND($H$354*J334,2)</f>
        <v>62553.64</v>
      </c>
      <c r="I334" s="269">
        <f>ROUND(J334*$I$354,2)</f>
        <v>1902.36</v>
      </c>
      <c r="J334" s="469">
        <f>J143</f>
        <v>64456</v>
      </c>
      <c r="L334" s="128">
        <v>80104.626400000008</v>
      </c>
    </row>
    <row r="335" spans="1:15" s="17" customFormat="1" ht="13.5" customHeight="1">
      <c r="A335" s="468">
        <v>3</v>
      </c>
      <c r="B335" s="1413" t="s">
        <v>53</v>
      </c>
      <c r="C335" s="1413"/>
      <c r="D335" s="1413"/>
      <c r="E335" s="1413"/>
      <c r="F335" s="1413"/>
      <c r="G335" s="310"/>
      <c r="H335" s="268">
        <f>ROUND($H$354*J335,2)</f>
        <v>3332.41</v>
      </c>
      <c r="I335" s="269">
        <f>ROUND(J335*$I$354,2)</f>
        <v>101.34</v>
      </c>
      <c r="J335" s="469">
        <f>J149</f>
        <v>3433.75</v>
      </c>
      <c r="L335" s="128">
        <v>3575.4623999999994</v>
      </c>
      <c r="O335" s="129">
        <f>SUM(H333:H338,H341:H351)</f>
        <v>232000.00000000003</v>
      </c>
    </row>
    <row r="336" spans="1:15" s="17" customFormat="1" ht="13.5" customHeight="1" thickBot="1">
      <c r="A336" s="468">
        <v>4</v>
      </c>
      <c r="B336" s="1413" t="s">
        <v>206</v>
      </c>
      <c r="C336" s="1413"/>
      <c r="D336" s="1413"/>
      <c r="E336" s="1413"/>
      <c r="F336" s="1413"/>
      <c r="G336" s="310"/>
      <c r="H336" s="268">
        <f>ROUND($H$354*J336,2)</f>
        <v>41696.089999999997</v>
      </c>
      <c r="I336" s="269">
        <f>ROUND(J336*$I$354,2)</f>
        <v>1268.05</v>
      </c>
      <c r="J336" s="469">
        <f>J152</f>
        <v>42964.14</v>
      </c>
      <c r="L336" s="270">
        <v>45837.4372</v>
      </c>
      <c r="O336" s="129">
        <f>SUM(I333:I338,I341:I351)</f>
        <v>7055.51</v>
      </c>
    </row>
    <row r="337" spans="1:13" s="17" customFormat="1" ht="13.5" customHeight="1" thickTop="1">
      <c r="A337" s="468">
        <v>5</v>
      </c>
      <c r="B337" s="1413" t="s">
        <v>78</v>
      </c>
      <c r="C337" s="1413"/>
      <c r="D337" s="1413"/>
      <c r="E337" s="1413"/>
      <c r="F337" s="1413"/>
      <c r="G337" s="310"/>
      <c r="H337" s="268">
        <f>ROUND($H$354*J337,2)</f>
        <v>67256.850000000006</v>
      </c>
      <c r="I337" s="269">
        <f>ROUND(J337*$I$354,2)</f>
        <v>2045.39</v>
      </c>
      <c r="J337" s="469">
        <f>J159</f>
        <v>69302.240000000005</v>
      </c>
      <c r="L337" s="271">
        <v>99492.395000000019</v>
      </c>
    </row>
    <row r="338" spans="1:13" s="17" customFormat="1" ht="13.5" customHeight="1">
      <c r="A338" s="468">
        <v>6</v>
      </c>
      <c r="B338" s="1413" t="s">
        <v>82</v>
      </c>
      <c r="C338" s="1413"/>
      <c r="D338" s="1413"/>
      <c r="E338" s="1413"/>
      <c r="F338" s="1413"/>
      <c r="G338" s="310"/>
      <c r="H338" s="268">
        <f>ROUND($H$354*J338,2)</f>
        <v>9704.86</v>
      </c>
      <c r="I338" s="269">
        <f>ROUND(J338*$I$354,2)</f>
        <v>295.14</v>
      </c>
      <c r="J338" s="469">
        <f>J167</f>
        <v>10000</v>
      </c>
      <c r="K338" s="129"/>
      <c r="L338" s="128">
        <v>12000</v>
      </c>
    </row>
    <row r="339" spans="1:13" s="17" customFormat="1" ht="10.15" customHeight="1">
      <c r="A339" s="470"/>
      <c r="B339" s="341"/>
      <c r="C339" s="341"/>
      <c r="D339" s="341"/>
      <c r="E339" s="341"/>
      <c r="F339" s="341"/>
      <c r="G339" s="332"/>
      <c r="H339" s="273"/>
      <c r="I339" s="273"/>
      <c r="J339" s="471"/>
      <c r="L339" s="272"/>
    </row>
    <row r="340" spans="1:13" s="17" customFormat="1" ht="13.5" customHeight="1">
      <c r="A340" s="1467" t="s">
        <v>210</v>
      </c>
      <c r="B340" s="1468"/>
      <c r="C340" s="1468"/>
      <c r="D340" s="1468"/>
      <c r="E340" s="1468"/>
      <c r="F340" s="1468"/>
      <c r="G340" s="1468"/>
      <c r="H340" s="1468"/>
      <c r="I340" s="1468"/>
      <c r="J340" s="1469"/>
      <c r="L340" s="272"/>
    </row>
    <row r="341" spans="1:13" s="17" customFormat="1" ht="13.5" customHeight="1">
      <c r="A341" s="472">
        <v>1</v>
      </c>
      <c r="B341" s="1443" t="s">
        <v>36</v>
      </c>
      <c r="C341" s="1443"/>
      <c r="D341" s="1443"/>
      <c r="E341" s="1443"/>
      <c r="F341" s="1443"/>
      <c r="G341" s="248"/>
      <c r="H341" s="190">
        <f>ROUND($H$354*J341,2)</f>
        <v>196.54</v>
      </c>
      <c r="I341" s="190">
        <f>ROUND(J341*$I$354,2)</f>
        <v>5.98</v>
      </c>
      <c r="J341" s="473">
        <f>J189</f>
        <v>202.52</v>
      </c>
      <c r="L341" s="90">
        <v>784.72349999999994</v>
      </c>
    </row>
    <row r="342" spans="1:13" s="17" customFormat="1" ht="13.5" customHeight="1">
      <c r="A342" s="472">
        <v>2</v>
      </c>
      <c r="B342" s="1413" t="s">
        <v>42</v>
      </c>
      <c r="C342" s="1413"/>
      <c r="D342" s="1413"/>
      <c r="E342" s="1413"/>
      <c r="F342" s="1413"/>
      <c r="G342" s="248"/>
      <c r="H342" s="190">
        <f t="shared" ref="H342:H351" si="12">ROUND($H$354*J342,2)</f>
        <v>2490.39</v>
      </c>
      <c r="I342" s="190">
        <f t="shared" ref="I342:I351" si="13">ROUND(J342*$I$354,2)</f>
        <v>75.739999999999995</v>
      </c>
      <c r="J342" s="473">
        <f>J192</f>
        <v>2566.1299999999997</v>
      </c>
      <c r="L342" s="90">
        <v>6861.2775999999994</v>
      </c>
    </row>
    <row r="343" spans="1:13" s="17" customFormat="1" ht="13.5" customHeight="1">
      <c r="A343" s="472">
        <v>3</v>
      </c>
      <c r="B343" s="1413" t="s">
        <v>207</v>
      </c>
      <c r="C343" s="1413"/>
      <c r="D343" s="1413"/>
      <c r="E343" s="1413"/>
      <c r="F343" s="1413"/>
      <c r="G343" s="248"/>
      <c r="H343" s="190">
        <f t="shared" si="12"/>
        <v>598.51</v>
      </c>
      <c r="I343" s="190">
        <f t="shared" si="13"/>
        <v>18.2</v>
      </c>
      <c r="J343" s="473">
        <f>J200</f>
        <v>616.71</v>
      </c>
      <c r="L343" s="128">
        <v>2833.0860000000002</v>
      </c>
    </row>
    <row r="344" spans="1:13" s="17" customFormat="1" ht="13.5" customHeight="1">
      <c r="A344" s="472">
        <v>4</v>
      </c>
      <c r="B344" s="1444" t="s">
        <v>98</v>
      </c>
      <c r="C344" s="1445"/>
      <c r="D344" s="1445"/>
      <c r="E344" s="1445"/>
      <c r="F344" s="1446"/>
      <c r="G344" s="310"/>
      <c r="H344" s="190">
        <f t="shared" si="12"/>
        <v>6902.31</v>
      </c>
      <c r="I344" s="190">
        <f t="shared" si="13"/>
        <v>209.91</v>
      </c>
      <c r="J344" s="473">
        <f>J204</f>
        <v>7112.22</v>
      </c>
      <c r="L344" s="128">
        <v>16304.5154</v>
      </c>
    </row>
    <row r="345" spans="1:13" s="17" customFormat="1" ht="13.5" customHeight="1">
      <c r="A345" s="472">
        <v>5</v>
      </c>
      <c r="B345" s="1413" t="s">
        <v>100</v>
      </c>
      <c r="C345" s="1413"/>
      <c r="D345" s="1413"/>
      <c r="E345" s="1413"/>
      <c r="F345" s="1413"/>
      <c r="G345" s="310"/>
      <c r="H345" s="190">
        <f t="shared" si="12"/>
        <v>2122.6999999999998</v>
      </c>
      <c r="I345" s="190">
        <f t="shared" si="13"/>
        <v>64.56</v>
      </c>
      <c r="J345" s="473">
        <f>J209</f>
        <v>2187.2600000000002</v>
      </c>
      <c r="L345" s="128">
        <v>5510.5505999999996</v>
      </c>
    </row>
    <row r="346" spans="1:13" s="17" customFormat="1" ht="13.5" customHeight="1">
      <c r="A346" s="472">
        <v>6</v>
      </c>
      <c r="B346" s="1413" t="s">
        <v>102</v>
      </c>
      <c r="C346" s="1413"/>
      <c r="D346" s="1413"/>
      <c r="E346" s="1413"/>
      <c r="F346" s="1413"/>
      <c r="G346" s="310"/>
      <c r="H346" s="190">
        <f t="shared" si="12"/>
        <v>4723.29</v>
      </c>
      <c r="I346" s="190">
        <f t="shared" si="13"/>
        <v>143.63999999999999</v>
      </c>
      <c r="J346" s="473">
        <f>J212</f>
        <v>4866.9299999999994</v>
      </c>
      <c r="L346" s="128">
        <v>11214.976799999999</v>
      </c>
    </row>
    <row r="347" spans="1:13" s="17" customFormat="1" ht="13.5" customHeight="1">
      <c r="A347" s="472">
        <v>7</v>
      </c>
      <c r="B347" s="1413" t="s">
        <v>208</v>
      </c>
      <c r="C347" s="1413"/>
      <c r="D347" s="1413"/>
      <c r="E347" s="1413"/>
      <c r="F347" s="1413"/>
      <c r="G347" s="310"/>
      <c r="H347" s="190">
        <f t="shared" si="12"/>
        <v>5518.99</v>
      </c>
      <c r="I347" s="190">
        <f t="shared" si="13"/>
        <v>167.84</v>
      </c>
      <c r="J347" s="473">
        <f>J217</f>
        <v>5686.83</v>
      </c>
      <c r="L347" s="128">
        <v>18338.632399999999</v>
      </c>
    </row>
    <row r="348" spans="1:13" s="17" customFormat="1" ht="13.5" customHeight="1">
      <c r="A348" s="472">
        <v>8</v>
      </c>
      <c r="B348" s="1413" t="s">
        <v>116</v>
      </c>
      <c r="C348" s="1413"/>
      <c r="D348" s="1413"/>
      <c r="E348" s="1413"/>
      <c r="F348" s="1413"/>
      <c r="G348" s="310"/>
      <c r="H348" s="190">
        <f t="shared" si="12"/>
        <v>4454.13</v>
      </c>
      <c r="I348" s="190">
        <f t="shared" si="13"/>
        <v>135.46</v>
      </c>
      <c r="J348" s="473">
        <f>J226</f>
        <v>4589.5899999999992</v>
      </c>
      <c r="L348" s="128">
        <v>5050.6100000000006</v>
      </c>
    </row>
    <row r="349" spans="1:13" s="17" customFormat="1" ht="13.5" customHeight="1">
      <c r="A349" s="472">
        <v>9</v>
      </c>
      <c r="B349" s="1413" t="s">
        <v>209</v>
      </c>
      <c r="C349" s="1413"/>
      <c r="D349" s="1413"/>
      <c r="E349" s="1413"/>
      <c r="F349" s="1413"/>
      <c r="G349" s="310"/>
      <c r="H349" s="190">
        <f t="shared" si="12"/>
        <v>9479.6200000000008</v>
      </c>
      <c r="I349" s="190">
        <f t="shared" si="13"/>
        <v>288.29000000000002</v>
      </c>
      <c r="J349" s="473">
        <f>J241</f>
        <v>9767.909999999998</v>
      </c>
      <c r="L349" s="128">
        <v>17459.994999999999</v>
      </c>
    </row>
    <row r="350" spans="1:13" s="17" customFormat="1" ht="13.5" customHeight="1">
      <c r="A350" s="472">
        <v>10</v>
      </c>
      <c r="B350" s="1413" t="s">
        <v>190</v>
      </c>
      <c r="C350" s="1413"/>
      <c r="D350" s="1413"/>
      <c r="E350" s="1413"/>
      <c r="F350" s="1413"/>
      <c r="G350" s="310"/>
      <c r="H350" s="190">
        <f t="shared" si="12"/>
        <v>1674.02</v>
      </c>
      <c r="I350" s="190">
        <f t="shared" si="13"/>
        <v>50.91</v>
      </c>
      <c r="J350" s="473">
        <f>J261</f>
        <v>1724.93</v>
      </c>
      <c r="L350" s="128">
        <v>2655.8167999999996</v>
      </c>
    </row>
    <row r="351" spans="1:13" s="17" customFormat="1" ht="13.5" customHeight="1">
      <c r="A351" s="472">
        <v>11</v>
      </c>
      <c r="B351" s="1413" t="s">
        <v>195</v>
      </c>
      <c r="C351" s="1413"/>
      <c r="D351" s="1413"/>
      <c r="E351" s="1413"/>
      <c r="F351" s="1413"/>
      <c r="G351" s="310"/>
      <c r="H351" s="190">
        <f t="shared" si="12"/>
        <v>6129.36</v>
      </c>
      <c r="I351" s="190">
        <f t="shared" si="13"/>
        <v>186.4</v>
      </c>
      <c r="J351" s="473">
        <f>J265</f>
        <v>6315.76</v>
      </c>
      <c r="K351" s="129"/>
      <c r="L351" s="128">
        <v>1597.212</v>
      </c>
    </row>
    <row r="352" spans="1:13" s="17" customFormat="1" ht="10.9" customHeight="1">
      <c r="A352" s="474"/>
      <c r="B352" s="341"/>
      <c r="C352" s="341"/>
      <c r="D352" s="341"/>
      <c r="E352" s="341"/>
      <c r="F352" s="341"/>
      <c r="G352" s="332"/>
      <c r="H352" s="273"/>
      <c r="I352" s="273"/>
      <c r="J352" s="475"/>
      <c r="K352" s="129"/>
      <c r="L352" s="274"/>
      <c r="M352" s="129">
        <f>SUM(H353+I353)</f>
        <v>239055.51000000004</v>
      </c>
    </row>
    <row r="353" spans="1:16" s="17" customFormat="1" ht="13.5" customHeight="1">
      <c r="A353" s="1540" t="s">
        <v>21</v>
      </c>
      <c r="B353" s="1541"/>
      <c r="C353" s="1541"/>
      <c r="D353" s="1541"/>
      <c r="E353" s="1541"/>
      <c r="F353" s="1541"/>
      <c r="G353" s="1541"/>
      <c r="H353" s="467">
        <f>SUM(H333+H334+H335+H336+H337+H338+H341+H342+H343+H344+H345+H346+H347+H348+H349+H350+H351)</f>
        <v>232000.00000000003</v>
      </c>
      <c r="I353" s="276">
        <f>SUM(I333+I334+I335+I336+I337+I338+I341+I342+I343+I344+I345+I346+I347+I348+I349+I350+I351)</f>
        <v>7055.51</v>
      </c>
      <c r="J353" s="277">
        <f>SUM(J333+J334+J335+J336+J337+J338+J341+J342+J343+J344+J345+J346+J347+J348+J349+J350+J351)</f>
        <v>239055.50799999997</v>
      </c>
      <c r="K353" s="109">
        <f>SUM(H334:H339)</f>
        <v>184543.84999999998</v>
      </c>
      <c r="L353" s="16"/>
      <c r="M353" s="16"/>
      <c r="N353" s="16"/>
      <c r="O353" s="16"/>
      <c r="P353" s="16"/>
    </row>
    <row r="354" spans="1:16" s="16" customFormat="1" ht="13.5" customHeight="1">
      <c r="A354" s="1542" t="s">
        <v>30</v>
      </c>
      <c r="B354" s="1543"/>
      <c r="C354" s="1543"/>
      <c r="D354" s="1543"/>
      <c r="E354" s="1543"/>
      <c r="F354" s="1543"/>
      <c r="G354" s="1543"/>
      <c r="H354" s="278">
        <f>SUM(N354)</f>
        <v>0.97048590070553831</v>
      </c>
      <c r="I354" s="278">
        <f>SUM(J354-H354)</f>
        <v>2.9514099294461693E-2</v>
      </c>
      <c r="J354" s="279">
        <v>1</v>
      </c>
      <c r="K354" s="109">
        <f>SUM(H342:H352)</f>
        <v>44093.32</v>
      </c>
      <c r="M354" s="17"/>
      <c r="N354" s="171">
        <f>232000/J317</f>
        <v>0.97048590070553831</v>
      </c>
    </row>
    <row r="355" spans="1:16" s="16" customFormat="1" ht="13.5" customHeight="1">
      <c r="A355" s="476"/>
      <c r="B355" s="280"/>
      <c r="C355" s="280"/>
      <c r="D355" s="280"/>
      <c r="E355" s="280"/>
      <c r="F355" s="280"/>
      <c r="G355" s="280"/>
      <c r="H355" s="281"/>
      <c r="I355" s="281"/>
      <c r="J355" s="477"/>
      <c r="K355" s="109"/>
      <c r="M355" s="17"/>
      <c r="N355" s="171"/>
    </row>
    <row r="356" spans="1:16" s="17" customFormat="1" ht="13.5" customHeight="1">
      <c r="A356" s="1430" t="s">
        <v>31</v>
      </c>
      <c r="B356" s="1431"/>
      <c r="C356" s="1431"/>
      <c r="D356" s="1431"/>
      <c r="E356" s="1431"/>
      <c r="F356" s="1431"/>
      <c r="G356" s="1431"/>
      <c r="H356" s="1431"/>
      <c r="I356" s="1431"/>
      <c r="J356" s="1432"/>
      <c r="L356" s="16"/>
    </row>
    <row r="357" spans="1:16" s="17" customFormat="1" ht="13.5" customHeight="1">
      <c r="A357" s="1381" t="s">
        <v>32</v>
      </c>
      <c r="B357" s="1326"/>
      <c r="C357" s="1326"/>
      <c r="D357" s="1326"/>
      <c r="E357" s="1326"/>
      <c r="F357" s="1294" t="s">
        <v>211</v>
      </c>
      <c r="G357" s="1294"/>
      <c r="H357" s="1294"/>
      <c r="I357" s="1294"/>
      <c r="J357" s="1433"/>
    </row>
    <row r="358" spans="1:16" s="17" customFormat="1" ht="13.5" customHeight="1">
      <c r="A358" s="1304" t="s">
        <v>23</v>
      </c>
      <c r="B358" s="1306"/>
      <c r="C358" s="1306"/>
      <c r="D358" s="1306"/>
      <c r="E358" s="1306"/>
      <c r="F358" s="1416">
        <f>SUM(H353)</f>
        <v>232000.00000000003</v>
      </c>
      <c r="G358" s="1306"/>
      <c r="H358" s="1306"/>
      <c r="I358" s="1306"/>
      <c r="J358" s="1415"/>
    </row>
    <row r="359" spans="1:16" s="17" customFormat="1" ht="13.5" customHeight="1">
      <c r="A359" s="1304" t="s">
        <v>25</v>
      </c>
      <c r="B359" s="1306"/>
      <c r="C359" s="1306"/>
      <c r="D359" s="1306"/>
      <c r="E359" s="1306"/>
      <c r="F359" s="1416">
        <f>SUM(I353)</f>
        <v>7055.51</v>
      </c>
      <c r="G359" s="1306"/>
      <c r="H359" s="1306"/>
      <c r="I359" s="1306"/>
      <c r="J359" s="1415"/>
    </row>
    <row r="360" spans="1:16" s="17" customFormat="1" ht="13.5" customHeight="1">
      <c r="A360" s="1304" t="s">
        <v>212</v>
      </c>
      <c r="B360" s="1306"/>
      <c r="C360" s="1306"/>
      <c r="D360" s="1306"/>
      <c r="E360" s="1306"/>
      <c r="F360" s="1416">
        <f>SUM(J353)</f>
        <v>239055.50799999997</v>
      </c>
      <c r="G360" s="1306"/>
      <c r="H360" s="1306"/>
      <c r="I360" s="1306"/>
      <c r="J360" s="1415"/>
      <c r="K360" s="16"/>
      <c r="M360" s="16"/>
      <c r="N360" s="16"/>
      <c r="O360" s="16"/>
      <c r="P360" s="16"/>
    </row>
    <row r="361" spans="1:16" s="17" customFormat="1" ht="13.5" customHeight="1">
      <c r="A361" s="481"/>
      <c r="B361" s="261"/>
      <c r="C361" s="261"/>
      <c r="D361" s="261"/>
      <c r="E361" s="261"/>
      <c r="F361" s="480"/>
      <c r="G361" s="261"/>
      <c r="H361" s="261"/>
      <c r="I361" s="261"/>
      <c r="J361" s="456"/>
      <c r="K361" s="16"/>
      <c r="M361" s="16"/>
      <c r="N361" s="16"/>
      <c r="O361" s="16"/>
      <c r="P361" s="16"/>
    </row>
    <row r="362" spans="1:16" s="16" customFormat="1" ht="13.5" customHeight="1">
      <c r="A362" s="1440" t="s">
        <v>388</v>
      </c>
      <c r="B362" s="1441"/>
      <c r="C362" s="1441"/>
      <c r="D362" s="1441"/>
      <c r="E362" s="1441"/>
      <c r="F362" s="1441"/>
      <c r="G362" s="1441"/>
      <c r="H362" s="1441"/>
      <c r="I362" s="1441"/>
      <c r="J362" s="1442"/>
      <c r="K362" s="129"/>
      <c r="L362" s="274"/>
      <c r="M362" s="17"/>
      <c r="N362" s="17"/>
      <c r="O362" s="17"/>
      <c r="P362" s="17"/>
    </row>
    <row r="363" spans="1:16" s="17" customFormat="1" ht="11.45" customHeight="1">
      <c r="A363" s="474"/>
      <c r="B363" s="341"/>
      <c r="C363" s="341"/>
      <c r="D363" s="341"/>
      <c r="E363" s="341"/>
      <c r="F363" s="341"/>
      <c r="G363" s="332"/>
      <c r="H363" s="273"/>
      <c r="I363" s="273"/>
      <c r="J363" s="475"/>
      <c r="K363" s="129"/>
      <c r="L363" s="274"/>
    </row>
    <row r="364" spans="1:16" s="17" customFormat="1" ht="13.5" customHeight="1">
      <c r="A364" s="472">
        <v>1</v>
      </c>
      <c r="B364" s="1443" t="s">
        <v>36</v>
      </c>
      <c r="C364" s="1443"/>
      <c r="D364" s="1443"/>
      <c r="E364" s="1443"/>
      <c r="F364" s="1443"/>
      <c r="G364" s="310"/>
      <c r="H364" s="190">
        <f>SUM(J364)</f>
        <v>10278.193499999999</v>
      </c>
      <c r="I364" s="190">
        <v>0</v>
      </c>
      <c r="J364" s="473">
        <f>SUM(J174)</f>
        <v>10278.193499999999</v>
      </c>
      <c r="K364" s="265"/>
      <c r="L364" s="274"/>
    </row>
    <row r="365" spans="1:16" s="17" customFormat="1" ht="13.5" customHeight="1">
      <c r="A365" s="474">
        <v>2</v>
      </c>
      <c r="B365" s="1413" t="s">
        <v>206</v>
      </c>
      <c r="C365" s="1413"/>
      <c r="D365" s="1413"/>
      <c r="E365" s="1413"/>
      <c r="F365" s="1413"/>
      <c r="G365" s="310"/>
      <c r="H365" s="190">
        <f t="shared" ref="H365:H366" si="14">SUM(J365)</f>
        <v>7343.5194000000001</v>
      </c>
      <c r="I365" s="190">
        <v>0</v>
      </c>
      <c r="J365" s="473">
        <f>SUM(J180)</f>
        <v>7343.5194000000001</v>
      </c>
      <c r="K365" s="265"/>
      <c r="L365" s="274"/>
    </row>
    <row r="366" spans="1:16" s="17" customFormat="1" ht="13.5" customHeight="1">
      <c r="A366" s="474">
        <v>3</v>
      </c>
      <c r="B366" s="1413" t="s">
        <v>78</v>
      </c>
      <c r="C366" s="1413"/>
      <c r="D366" s="1413"/>
      <c r="E366" s="1413"/>
      <c r="F366" s="1413"/>
      <c r="G366" s="310"/>
      <c r="H366" s="190">
        <f t="shared" si="14"/>
        <v>7037.4075000000003</v>
      </c>
      <c r="I366" s="190">
        <v>0</v>
      </c>
      <c r="J366" s="473">
        <f>SUM(J183)</f>
        <v>7037.4075000000003</v>
      </c>
      <c r="K366" s="265"/>
      <c r="L366" s="274"/>
    </row>
    <row r="367" spans="1:16" s="17" customFormat="1" ht="10.9" customHeight="1">
      <c r="A367" s="474"/>
      <c r="B367" s="341"/>
      <c r="C367" s="341"/>
      <c r="D367" s="341"/>
      <c r="E367" s="341"/>
      <c r="F367" s="341"/>
      <c r="G367" s="332"/>
      <c r="H367" s="273"/>
      <c r="I367" s="273"/>
      <c r="J367" s="475"/>
      <c r="K367" s="265"/>
      <c r="L367" s="274"/>
    </row>
    <row r="368" spans="1:16" s="17" customFormat="1" ht="13.5" customHeight="1">
      <c r="A368" s="1440" t="s">
        <v>392</v>
      </c>
      <c r="B368" s="1441"/>
      <c r="C368" s="1441"/>
      <c r="D368" s="1441"/>
      <c r="E368" s="1441"/>
      <c r="F368" s="1441"/>
      <c r="G368" s="1441"/>
      <c r="H368" s="1441"/>
      <c r="I368" s="1441"/>
      <c r="J368" s="1442"/>
      <c r="K368" s="265"/>
      <c r="L368" s="274"/>
    </row>
    <row r="369" spans="1:14" s="17" customFormat="1" ht="10.9" customHeight="1">
      <c r="A369" s="474"/>
      <c r="B369" s="341"/>
      <c r="C369" s="341"/>
      <c r="D369" s="341"/>
      <c r="E369" s="341"/>
      <c r="F369" s="341"/>
      <c r="G369" s="332"/>
      <c r="H369" s="273"/>
      <c r="I369" s="273"/>
      <c r="J369" s="475"/>
      <c r="K369" s="265"/>
      <c r="L369" s="274"/>
    </row>
    <row r="370" spans="1:14" s="17" customFormat="1" ht="13.5" customHeight="1">
      <c r="A370" s="474">
        <v>1</v>
      </c>
      <c r="B370" s="1438" t="s">
        <v>315</v>
      </c>
      <c r="C370" s="1438"/>
      <c r="D370" s="1438"/>
      <c r="E370" s="1438"/>
      <c r="F370" s="1438"/>
      <c r="G370" s="310"/>
      <c r="H370" s="190">
        <f>SUM(J370)</f>
        <v>3069.72</v>
      </c>
      <c r="I370" s="190">
        <v>0</v>
      </c>
      <c r="J370" s="473">
        <v>3069.72</v>
      </c>
      <c r="K370" s="265"/>
      <c r="L370" s="274"/>
    </row>
    <row r="371" spans="1:14" s="17" customFormat="1" ht="13.5" customHeight="1">
      <c r="A371" s="474">
        <v>2</v>
      </c>
      <c r="B371" s="1438" t="s">
        <v>116</v>
      </c>
      <c r="C371" s="1438"/>
      <c r="D371" s="1438"/>
      <c r="E371" s="1438"/>
      <c r="F371" s="1438"/>
      <c r="G371" s="310"/>
      <c r="H371" s="190">
        <f t="shared" ref="H371:H372" si="15">SUM(J371)</f>
        <v>1121.3</v>
      </c>
      <c r="I371" s="190">
        <v>0</v>
      </c>
      <c r="J371" s="473">
        <v>1121.3</v>
      </c>
      <c r="K371" s="265"/>
      <c r="L371" s="274"/>
    </row>
    <row r="372" spans="1:14" s="17" customFormat="1" ht="13.5" customHeight="1">
      <c r="A372" s="474">
        <v>3</v>
      </c>
      <c r="B372" s="1438" t="s">
        <v>195</v>
      </c>
      <c r="C372" s="1438"/>
      <c r="D372" s="1438"/>
      <c r="E372" s="1438"/>
      <c r="F372" s="1438"/>
      <c r="G372" s="310"/>
      <c r="H372" s="190">
        <f t="shared" si="15"/>
        <v>5285.52</v>
      </c>
      <c r="I372" s="190">
        <v>0</v>
      </c>
      <c r="J372" s="473">
        <v>5285.52</v>
      </c>
      <c r="K372" s="265"/>
      <c r="L372" s="274"/>
    </row>
    <row r="373" spans="1:14" s="17" customFormat="1" ht="13.5" customHeight="1">
      <c r="A373" s="470"/>
      <c r="B373" s="341"/>
      <c r="C373" s="341"/>
      <c r="D373" s="341"/>
      <c r="E373" s="341"/>
      <c r="F373" s="341"/>
      <c r="G373" s="332"/>
      <c r="H373" s="273"/>
      <c r="I373" s="273"/>
      <c r="J373" s="471"/>
      <c r="K373" s="265"/>
      <c r="L373" s="274"/>
    </row>
    <row r="374" spans="1:14" s="17" customFormat="1" ht="13.5" customHeight="1">
      <c r="A374" s="1434" t="s">
        <v>402</v>
      </c>
      <c r="B374" s="1435"/>
      <c r="C374" s="1435"/>
      <c r="D374" s="1435"/>
      <c r="E374" s="1435"/>
      <c r="F374" s="1435"/>
      <c r="G374" s="1435"/>
      <c r="H374" s="1435"/>
      <c r="I374" s="1435"/>
      <c r="J374" s="1436"/>
      <c r="K374" s="265"/>
      <c r="L374" s="274"/>
    </row>
    <row r="375" spans="1:14" s="17" customFormat="1" ht="13.5" customHeight="1">
      <c r="A375" s="472">
        <v>1</v>
      </c>
      <c r="B375" s="1437" t="s">
        <v>91</v>
      </c>
      <c r="C375" s="1438"/>
      <c r="D375" s="1438"/>
      <c r="E375" s="1438"/>
      <c r="F375" s="1439"/>
      <c r="G375" s="310"/>
      <c r="H375" s="190">
        <f>SUM(J375)</f>
        <v>6087.4376000000002</v>
      </c>
      <c r="I375" s="190">
        <v>0</v>
      </c>
      <c r="J375" s="473">
        <f>J293</f>
        <v>6087.4376000000002</v>
      </c>
      <c r="K375" s="265"/>
      <c r="L375" s="274"/>
    </row>
    <row r="376" spans="1:14" s="17" customFormat="1" ht="13.5" customHeight="1">
      <c r="A376" s="472">
        <v>2</v>
      </c>
      <c r="B376" s="1437" t="s">
        <v>351</v>
      </c>
      <c r="C376" s="1438"/>
      <c r="D376" s="1438"/>
      <c r="E376" s="1438"/>
      <c r="F376" s="1439"/>
      <c r="G376" s="310"/>
      <c r="H376" s="190">
        <f t="shared" ref="H376:H378" si="16">SUM(J376)</f>
        <v>10852.02</v>
      </c>
      <c r="I376" s="190">
        <v>0</v>
      </c>
      <c r="J376" s="473">
        <f>J300</f>
        <v>10852.02</v>
      </c>
      <c r="K376" s="265"/>
      <c r="L376" s="274"/>
    </row>
    <row r="377" spans="1:14" s="17" customFormat="1" ht="13.5" customHeight="1">
      <c r="A377" s="472">
        <v>3</v>
      </c>
      <c r="B377" s="1437" t="s">
        <v>208</v>
      </c>
      <c r="C377" s="1438"/>
      <c r="D377" s="1438"/>
      <c r="E377" s="1438"/>
      <c r="F377" s="1439"/>
      <c r="G377" s="310"/>
      <c r="H377" s="190">
        <f t="shared" si="16"/>
        <v>4322.4799999999996</v>
      </c>
      <c r="I377" s="190">
        <v>0</v>
      </c>
      <c r="J377" s="473">
        <f>J308</f>
        <v>4322.4799999999996</v>
      </c>
      <c r="K377" s="265"/>
      <c r="L377" s="274"/>
    </row>
    <row r="378" spans="1:14" s="17" customFormat="1" ht="13.5" customHeight="1">
      <c r="A378" s="472">
        <v>4</v>
      </c>
      <c r="B378" s="1437" t="s">
        <v>350</v>
      </c>
      <c r="C378" s="1438"/>
      <c r="D378" s="1438"/>
      <c r="E378" s="1438"/>
      <c r="F378" s="1439"/>
      <c r="G378" s="310"/>
      <c r="H378" s="190">
        <f t="shared" si="16"/>
        <v>4115.16</v>
      </c>
      <c r="I378" s="190">
        <v>0</v>
      </c>
      <c r="J378" s="473">
        <f>J312</f>
        <v>4115.16</v>
      </c>
      <c r="K378" s="265"/>
      <c r="L378" s="274"/>
    </row>
    <row r="379" spans="1:14" s="17" customFormat="1" ht="13.5" customHeight="1">
      <c r="A379" s="470"/>
      <c r="B379" s="341"/>
      <c r="C379" s="341"/>
      <c r="D379" s="341"/>
      <c r="E379" s="341"/>
      <c r="F379" s="341"/>
      <c r="G379" s="332"/>
      <c r="H379" s="273"/>
      <c r="I379" s="273"/>
      <c r="J379" s="471"/>
      <c r="K379" s="266"/>
    </row>
    <row r="380" spans="1:14" s="17" customFormat="1" ht="13.35" customHeight="1">
      <c r="A380" s="1453" t="s">
        <v>21</v>
      </c>
      <c r="B380" s="1454"/>
      <c r="C380" s="1454"/>
      <c r="D380" s="1454"/>
      <c r="E380" s="1454"/>
      <c r="F380" s="1454"/>
      <c r="G380" s="1454"/>
      <c r="H380" s="249">
        <f>SUM(H364+H365+H366+H370+H371+H372+H375+H376+H377+H378)</f>
        <v>59512.758000000002</v>
      </c>
      <c r="I380" s="249">
        <v>0</v>
      </c>
      <c r="J380" s="478">
        <f>SUM(J364+J365+J366+J370+J371+J372+J375+J376+J377+J378)</f>
        <v>59512.758000000002</v>
      </c>
      <c r="K380" s="266"/>
      <c r="N380" s="275">
        <f>6057829/J321</f>
        <v>101.79042994342399</v>
      </c>
    </row>
    <row r="381" spans="1:14" s="17" customFormat="1" ht="13.35" customHeight="1">
      <c r="A381" s="1304" t="s">
        <v>30</v>
      </c>
      <c r="B381" s="1306"/>
      <c r="C381" s="1306"/>
      <c r="D381" s="1306"/>
      <c r="E381" s="1306"/>
      <c r="F381" s="1306"/>
      <c r="G381" s="1306"/>
      <c r="H381" s="250">
        <f>H380/J380</f>
        <v>1</v>
      </c>
      <c r="I381" s="250">
        <f>J381-H381</f>
        <v>0</v>
      </c>
      <c r="J381" s="479">
        <v>1</v>
      </c>
      <c r="K381" s="266"/>
    </row>
    <row r="382" spans="1:14" s="17" customFormat="1" ht="13.35" customHeight="1">
      <c r="A382" s="1427" t="s">
        <v>403</v>
      </c>
      <c r="B382" s="1428"/>
      <c r="C382" s="1428"/>
      <c r="D382" s="1428"/>
      <c r="E382" s="1428"/>
      <c r="F382" s="1428"/>
      <c r="G382" s="1428"/>
      <c r="H382" s="1428"/>
      <c r="I382" s="1428"/>
      <c r="J382" s="1429"/>
    </row>
    <row r="383" spans="1:14" s="17" customFormat="1" ht="13.35" customHeight="1">
      <c r="A383" s="350"/>
      <c r="B383" s="286"/>
      <c r="C383" s="286"/>
      <c r="D383" s="286"/>
      <c r="E383" s="286"/>
      <c r="F383" s="286"/>
      <c r="G383" s="175"/>
      <c r="H383" s="175"/>
      <c r="I383" s="343"/>
      <c r="J383" s="351"/>
      <c r="L383" s="16"/>
    </row>
    <row r="384" spans="1:14" s="17" customFormat="1" ht="13.35" customHeight="1">
      <c r="A384" s="1430" t="s">
        <v>31</v>
      </c>
      <c r="B384" s="1431"/>
      <c r="C384" s="1431"/>
      <c r="D384" s="1431"/>
      <c r="E384" s="1431"/>
      <c r="F384" s="1431"/>
      <c r="G384" s="1431"/>
      <c r="H384" s="1431"/>
      <c r="I384" s="1431"/>
      <c r="J384" s="1432"/>
      <c r="L384" s="16"/>
    </row>
    <row r="385" spans="1:16" s="17" customFormat="1" ht="13.35" customHeight="1">
      <c r="A385" s="1381" t="s">
        <v>32</v>
      </c>
      <c r="B385" s="1326"/>
      <c r="C385" s="1326"/>
      <c r="D385" s="1326"/>
      <c r="E385" s="1326"/>
      <c r="F385" s="1294" t="s">
        <v>211</v>
      </c>
      <c r="G385" s="1294"/>
      <c r="H385" s="1294"/>
      <c r="I385" s="1294"/>
      <c r="J385" s="1433"/>
    </row>
    <row r="386" spans="1:16" s="17" customFormat="1" ht="13.5" customHeight="1">
      <c r="A386" s="1304" t="s">
        <v>23</v>
      </c>
      <c r="B386" s="1306"/>
      <c r="C386" s="1306"/>
      <c r="D386" s="1306"/>
      <c r="E386" s="1306"/>
      <c r="F386" s="1416">
        <f>H380</f>
        <v>59512.758000000002</v>
      </c>
      <c r="G386" s="1306"/>
      <c r="H386" s="1306"/>
      <c r="I386" s="1306"/>
      <c r="J386" s="1415"/>
    </row>
    <row r="387" spans="1:16" s="17" customFormat="1" ht="13.5" customHeight="1">
      <c r="A387" s="1304" t="s">
        <v>25</v>
      </c>
      <c r="B387" s="1306"/>
      <c r="C387" s="1306"/>
      <c r="D387" s="1306"/>
      <c r="E387" s="1306"/>
      <c r="F387" s="1416">
        <f>I380</f>
        <v>0</v>
      </c>
      <c r="G387" s="1306"/>
      <c r="H387" s="1306"/>
      <c r="I387" s="1306"/>
      <c r="J387" s="1415"/>
    </row>
    <row r="388" spans="1:16" s="17" customFormat="1" ht="13.5" customHeight="1" thickBot="1">
      <c r="A388" s="1417" t="s">
        <v>212</v>
      </c>
      <c r="B388" s="1418"/>
      <c r="C388" s="1418"/>
      <c r="D388" s="1418"/>
      <c r="E388" s="1418"/>
      <c r="F388" s="1419">
        <f>J380</f>
        <v>59512.758000000002</v>
      </c>
      <c r="G388" s="1418"/>
      <c r="H388" s="1418"/>
      <c r="I388" s="1418"/>
      <c r="J388" s="1420"/>
      <c r="K388" s="16"/>
      <c r="M388" s="16"/>
      <c r="N388" s="16"/>
      <c r="O388" s="16"/>
      <c r="P388" s="16"/>
    </row>
    <row r="389" spans="1:16" s="16" customFormat="1" ht="15" customHeight="1" thickTop="1">
      <c r="A389" s="346"/>
      <c r="B389" s="346"/>
      <c r="C389" s="346"/>
      <c r="D389" s="346"/>
      <c r="E389" s="346"/>
      <c r="F389" s="346"/>
      <c r="G389" s="347"/>
      <c r="H389" s="347"/>
      <c r="I389" s="348"/>
      <c r="J389" s="346"/>
      <c r="L389" s="17"/>
    </row>
    <row r="390" spans="1:16" s="16" customFormat="1" ht="15" customHeight="1" thickBot="1">
      <c r="A390" s="401"/>
      <c r="B390" s="286"/>
      <c r="C390" s="286"/>
      <c r="D390" s="286"/>
      <c r="E390" s="286"/>
      <c r="F390" s="286"/>
      <c r="G390" s="175"/>
      <c r="H390" s="175"/>
      <c r="I390" s="343"/>
      <c r="J390" s="286"/>
      <c r="L390" s="17"/>
    </row>
    <row r="391" spans="1:16" s="16" customFormat="1" ht="15" customHeight="1" thickTop="1">
      <c r="A391" s="1421" t="s">
        <v>33</v>
      </c>
      <c r="B391" s="1422"/>
      <c r="C391" s="1422"/>
      <c r="D391" s="1422"/>
      <c r="E391" s="1422"/>
      <c r="F391" s="1422"/>
      <c r="G391" s="1422"/>
      <c r="H391" s="1422"/>
      <c r="I391" s="1422"/>
      <c r="J391" s="1423"/>
    </row>
    <row r="392" spans="1:16" s="16" customFormat="1" ht="94.15" customHeight="1">
      <c r="A392" s="1424" t="s">
        <v>312</v>
      </c>
      <c r="B392" s="1425"/>
      <c r="C392" s="1425"/>
      <c r="D392" s="1425"/>
      <c r="E392" s="1425"/>
      <c r="F392" s="1425"/>
      <c r="G392" s="1425"/>
      <c r="H392" s="1425"/>
      <c r="I392" s="1425"/>
      <c r="J392" s="1426"/>
    </row>
    <row r="393" spans="1:16" s="16" customFormat="1" ht="15" customHeight="1">
      <c r="A393" s="350"/>
      <c r="B393" s="286"/>
      <c r="C393" s="286"/>
      <c r="D393" s="286"/>
      <c r="E393" s="286"/>
      <c r="F393" s="286"/>
      <c r="G393" s="175"/>
      <c r="H393" s="175"/>
      <c r="I393" s="343"/>
      <c r="J393" s="351"/>
    </row>
    <row r="394" spans="1:16" s="16" customFormat="1" ht="14.45" customHeight="1">
      <c r="A394" s="1304" t="s">
        <v>34</v>
      </c>
      <c r="B394" s="1306"/>
      <c r="C394" s="1306"/>
      <c r="D394" s="1306"/>
      <c r="E394" s="1306"/>
      <c r="F394" s="1306"/>
      <c r="G394" s="1306"/>
      <c r="H394" s="1306"/>
      <c r="I394" s="1306"/>
      <c r="J394" s="1415"/>
    </row>
    <row r="395" spans="1:16" s="16" customFormat="1" ht="15" customHeight="1">
      <c r="A395" s="1528" t="s">
        <v>377</v>
      </c>
      <c r="B395" s="1294"/>
      <c r="C395" s="1294"/>
      <c r="D395" s="1294"/>
      <c r="E395" s="1294"/>
      <c r="F395" s="1294"/>
      <c r="G395" s="1294"/>
      <c r="H395" s="1294"/>
      <c r="I395" s="1294"/>
      <c r="J395" s="1433"/>
      <c r="K395" s="17"/>
      <c r="M395" s="17"/>
      <c r="N395" s="17"/>
      <c r="O395" s="17"/>
      <c r="P395" s="17"/>
    </row>
    <row r="396" spans="1:16" s="17" customFormat="1" ht="73.900000000000006" customHeight="1">
      <c r="A396" s="1412" t="s">
        <v>404</v>
      </c>
      <c r="B396" s="1413"/>
      <c r="C396" s="1413"/>
      <c r="D396" s="1413"/>
      <c r="E396" s="1413"/>
      <c r="F396" s="1413"/>
      <c r="G396" s="1413"/>
      <c r="H396" s="1413"/>
      <c r="I396" s="1413"/>
      <c r="J396" s="1414"/>
      <c r="K396" s="16"/>
      <c r="L396" s="16"/>
      <c r="M396" s="16"/>
      <c r="N396" s="16"/>
      <c r="O396" s="16"/>
      <c r="P396" s="16"/>
    </row>
    <row r="397" spans="1:16" s="16" customFormat="1" ht="15.6" customHeight="1">
      <c r="A397" s="350"/>
      <c r="B397" s="286"/>
      <c r="C397" s="286"/>
      <c r="D397" s="286"/>
      <c r="E397" s="286"/>
      <c r="F397" s="286"/>
      <c r="G397" s="175"/>
      <c r="H397" s="175"/>
      <c r="I397" s="343"/>
      <c r="J397" s="351"/>
      <c r="L397" s="17"/>
    </row>
    <row r="398" spans="1:16" s="16" customFormat="1" ht="15" customHeight="1">
      <c r="A398" s="1304" t="s">
        <v>35</v>
      </c>
      <c r="B398" s="1306"/>
      <c r="C398" s="1306"/>
      <c r="D398" s="1306"/>
      <c r="E398" s="1306"/>
      <c r="F398" s="1306"/>
      <c r="G398" s="1306"/>
      <c r="H398" s="1306"/>
      <c r="I398" s="1306"/>
      <c r="J398" s="1415"/>
    </row>
    <row r="399" spans="1:16" s="16" customFormat="1" ht="15" customHeight="1">
      <c r="A399" s="1307" t="s">
        <v>427</v>
      </c>
      <c r="B399" s="1308"/>
      <c r="C399" s="1308"/>
      <c r="D399" s="1308"/>
      <c r="E399" s="1308"/>
      <c r="F399" s="1308"/>
      <c r="G399" s="1308"/>
      <c r="H399" s="1308"/>
      <c r="I399" s="1308"/>
      <c r="J399" s="1309"/>
    </row>
    <row r="400" spans="1:16" s="16" customFormat="1" ht="15" customHeight="1">
      <c r="A400" s="374"/>
      <c r="B400" s="342"/>
      <c r="C400" s="342"/>
      <c r="D400" s="342"/>
      <c r="E400" s="342"/>
      <c r="F400" s="342"/>
      <c r="G400" s="290"/>
      <c r="H400" s="290"/>
      <c r="I400" s="342"/>
      <c r="J400" s="375"/>
    </row>
    <row r="401" spans="1:16" s="16" customFormat="1" ht="15" customHeight="1">
      <c r="A401" s="374"/>
      <c r="B401" s="342"/>
      <c r="C401" s="342"/>
      <c r="D401" s="342"/>
      <c r="E401" s="342"/>
      <c r="F401" s="342"/>
      <c r="G401" s="290"/>
      <c r="H401" s="290"/>
      <c r="I401" s="342"/>
      <c r="J401" s="375"/>
    </row>
    <row r="402" spans="1:16" s="16" customFormat="1" ht="15" customHeight="1">
      <c r="A402" s="374"/>
      <c r="B402" s="342"/>
      <c r="C402" s="342"/>
      <c r="D402" s="342"/>
      <c r="E402" s="342"/>
      <c r="F402" s="342"/>
      <c r="G402" s="290"/>
      <c r="H402" s="290"/>
      <c r="I402" s="342"/>
      <c r="J402" s="375"/>
    </row>
    <row r="403" spans="1:16" s="16" customFormat="1" ht="15" customHeight="1">
      <c r="A403" s="374"/>
      <c r="B403" s="342"/>
      <c r="C403" s="342"/>
      <c r="D403" s="342"/>
      <c r="E403" s="342"/>
      <c r="F403" s="342"/>
      <c r="G403" s="290"/>
      <c r="H403" s="290"/>
      <c r="I403" s="342"/>
      <c r="J403" s="375"/>
    </row>
    <row r="404" spans="1:16" s="16" customFormat="1" ht="15" customHeight="1">
      <c r="A404" s="374"/>
      <c r="B404" s="342"/>
      <c r="C404" s="342"/>
      <c r="D404" s="342"/>
      <c r="E404" s="342"/>
      <c r="F404" s="342"/>
      <c r="G404" s="290"/>
      <c r="H404" s="290"/>
      <c r="I404" s="342"/>
      <c r="J404" s="375"/>
    </row>
    <row r="405" spans="1:16" s="16" customFormat="1" ht="15" customHeight="1">
      <c r="A405" s="374"/>
      <c r="B405" s="342"/>
      <c r="C405" s="342"/>
      <c r="D405" s="342"/>
      <c r="E405" s="342"/>
      <c r="F405" s="342"/>
      <c r="G405" s="290"/>
      <c r="H405" s="290"/>
      <c r="I405" s="342"/>
      <c r="J405" s="375"/>
    </row>
    <row r="406" spans="1:16" s="16" customFormat="1" ht="15" customHeight="1">
      <c r="A406" s="374"/>
      <c r="B406" s="342"/>
      <c r="C406" s="342"/>
      <c r="D406" s="342"/>
      <c r="E406" s="342"/>
      <c r="F406" s="342"/>
      <c r="G406" s="290"/>
      <c r="H406" s="290"/>
      <c r="I406" s="342"/>
      <c r="J406" s="375"/>
      <c r="K406" s="108"/>
      <c r="M406" s="108"/>
      <c r="N406" s="108"/>
      <c r="O406" s="108"/>
      <c r="P406" s="108"/>
    </row>
    <row r="407" spans="1:16" s="108" customFormat="1" ht="15" customHeight="1">
      <c r="A407" s="1297" t="s">
        <v>379</v>
      </c>
      <c r="B407" s="1298"/>
      <c r="C407" s="1298"/>
      <c r="D407" s="1298"/>
      <c r="E407" s="1298"/>
      <c r="F407" s="1299" t="s">
        <v>296</v>
      </c>
      <c r="G407" s="1299"/>
      <c r="H407" s="1299"/>
      <c r="I407" s="1299"/>
      <c r="J407" s="1300"/>
      <c r="L407" s="16"/>
    </row>
    <row r="408" spans="1:16" s="108" customFormat="1" ht="15" customHeight="1">
      <c r="A408" s="1297" t="s">
        <v>380</v>
      </c>
      <c r="B408" s="1298"/>
      <c r="C408" s="1298"/>
      <c r="D408" s="1298"/>
      <c r="E408" s="1298"/>
      <c r="F408" s="1299" t="s">
        <v>381</v>
      </c>
      <c r="G408" s="1299"/>
      <c r="H408" s="1299"/>
      <c r="I408" s="1299"/>
      <c r="J408" s="1300"/>
    </row>
    <row r="409" spans="1:16" s="108" customFormat="1" ht="15" customHeight="1">
      <c r="A409" s="1297" t="s">
        <v>382</v>
      </c>
      <c r="B409" s="1298"/>
      <c r="C409" s="1298"/>
      <c r="D409" s="1298"/>
      <c r="E409" s="1298"/>
      <c r="F409" s="1299" t="s">
        <v>383</v>
      </c>
      <c r="G409" s="1299"/>
      <c r="H409" s="1299"/>
      <c r="I409" s="1299"/>
      <c r="J409" s="1300"/>
      <c r="K409" s="16"/>
      <c r="M409" s="16"/>
      <c r="N409" s="16"/>
      <c r="O409" s="16"/>
      <c r="P409" s="16"/>
    </row>
    <row r="410" spans="1:16" s="16" customFormat="1" ht="15" customHeight="1">
      <c r="A410" s="482"/>
      <c r="B410" s="305"/>
      <c r="C410" s="305"/>
      <c r="D410" s="305"/>
      <c r="E410" s="305"/>
      <c r="F410" s="306"/>
      <c r="G410" s="38"/>
      <c r="H410" s="38"/>
      <c r="I410" s="306"/>
      <c r="J410" s="483"/>
      <c r="L410" s="108"/>
    </row>
    <row r="411" spans="1:16" s="16" customFormat="1" ht="15" customHeight="1">
      <c r="A411" s="484"/>
      <c r="B411" s="307"/>
      <c r="C411" s="307"/>
      <c r="D411" s="307"/>
      <c r="E411" s="307"/>
      <c r="F411" s="343"/>
      <c r="G411" s="175"/>
      <c r="H411" s="175"/>
      <c r="I411" s="343"/>
      <c r="J411" s="485"/>
    </row>
    <row r="412" spans="1:16" s="16" customFormat="1" ht="15" customHeight="1">
      <c r="A412" s="484"/>
      <c r="B412" s="307"/>
      <c r="C412" s="307"/>
      <c r="D412" s="307"/>
      <c r="E412" s="307"/>
      <c r="F412" s="343"/>
      <c r="G412" s="175"/>
      <c r="H412" s="175"/>
      <c r="I412" s="343"/>
      <c r="J412" s="485"/>
    </row>
    <row r="413" spans="1:16" s="16" customFormat="1" ht="15" customHeight="1" thickBot="1">
      <c r="A413" s="486"/>
      <c r="B413" s="487"/>
      <c r="C413" s="487"/>
      <c r="D413" s="487"/>
      <c r="E413" s="487"/>
      <c r="F413" s="400"/>
      <c r="G413" s="399"/>
      <c r="H413" s="399"/>
      <c r="I413" s="400"/>
      <c r="J413" s="488"/>
      <c r="K413"/>
      <c r="M413"/>
      <c r="N413"/>
      <c r="O413"/>
      <c r="P413"/>
    </row>
    <row r="414" spans="1:16" ht="15.75" thickTop="1">
      <c r="A414" s="308"/>
      <c r="B414" s="308"/>
      <c r="C414" s="308"/>
      <c r="D414" s="308"/>
      <c r="E414" s="308"/>
      <c r="F414" s="308"/>
      <c r="G414" s="251"/>
      <c r="H414" s="251"/>
      <c r="I414" s="252"/>
      <c r="J414" s="308"/>
      <c r="L414" s="16"/>
    </row>
    <row r="415" spans="1:16">
      <c r="A415" s="308"/>
      <c r="B415" s="308"/>
      <c r="C415" s="308"/>
      <c r="D415" s="308"/>
      <c r="E415" s="308"/>
      <c r="F415" s="308"/>
      <c r="G415" s="251"/>
      <c r="H415" s="251"/>
      <c r="I415" s="252"/>
      <c r="J415" s="308"/>
      <c r="L415" s="16"/>
    </row>
    <row r="416" spans="1:16">
      <c r="A416" s="308"/>
      <c r="B416" s="308"/>
      <c r="C416" s="308"/>
      <c r="D416" s="308"/>
      <c r="E416" s="308"/>
      <c r="F416" s="308"/>
      <c r="G416" s="251"/>
      <c r="H416" s="251"/>
      <c r="I416" s="252"/>
      <c r="J416" s="308"/>
      <c r="L416" s="16"/>
    </row>
    <row r="417" spans="1:12">
      <c r="A417" s="308"/>
      <c r="B417" s="308"/>
      <c r="C417" s="308"/>
      <c r="D417" s="308"/>
      <c r="E417" s="308"/>
      <c r="F417" s="308"/>
      <c r="G417" s="251"/>
      <c r="H417" s="251"/>
      <c r="I417" s="252"/>
      <c r="J417" s="308"/>
      <c r="L417" s="16"/>
    </row>
    <row r="418" spans="1:12">
      <c r="A418" s="308"/>
      <c r="B418" s="308"/>
      <c r="C418" s="308"/>
      <c r="D418" s="308"/>
      <c r="E418" s="308"/>
      <c r="F418" s="308"/>
      <c r="G418" s="251"/>
      <c r="H418" s="251"/>
      <c r="I418" s="252"/>
      <c r="J418" s="308"/>
      <c r="L418" s="16"/>
    </row>
    <row r="419" spans="1:12">
      <c r="A419" s="308"/>
      <c r="B419" s="308"/>
      <c r="C419" s="308"/>
      <c r="D419" s="308"/>
      <c r="E419" s="308"/>
      <c r="F419" s="308"/>
      <c r="G419" s="251"/>
      <c r="H419" s="251"/>
      <c r="I419" s="252"/>
      <c r="J419" s="308"/>
      <c r="L419" s="16"/>
    </row>
    <row r="420" spans="1:12">
      <c r="A420" s="308"/>
      <c r="B420" s="308"/>
      <c r="C420" s="308"/>
      <c r="D420" s="308"/>
      <c r="E420" s="308"/>
      <c r="F420" s="308"/>
      <c r="G420" s="251"/>
      <c r="H420" s="251"/>
      <c r="I420" s="252"/>
      <c r="J420" s="308"/>
      <c r="L420" s="16"/>
    </row>
    <row r="421" spans="1:12">
      <c r="A421" s="308"/>
      <c r="B421" s="308"/>
      <c r="C421" s="308"/>
      <c r="D421" s="308"/>
      <c r="E421" s="308"/>
      <c r="F421" s="308"/>
      <c r="G421" s="251"/>
      <c r="H421" s="251"/>
      <c r="I421" s="252"/>
      <c r="J421" s="308"/>
      <c r="L421" s="16"/>
    </row>
    <row r="422" spans="1:12">
      <c r="A422" s="308"/>
      <c r="B422" s="308"/>
      <c r="C422" s="308"/>
      <c r="D422" s="308"/>
      <c r="E422" s="308"/>
      <c r="F422" s="308"/>
      <c r="G422" s="251"/>
      <c r="H422" s="251"/>
      <c r="I422" s="252"/>
      <c r="J422" s="308"/>
      <c r="L422" s="16"/>
    </row>
    <row r="423" spans="1:12">
      <c r="A423" s="308"/>
      <c r="B423" s="308"/>
      <c r="C423" s="308"/>
      <c r="D423" s="308"/>
      <c r="E423" s="308"/>
      <c r="F423" s="308"/>
      <c r="G423" s="251"/>
      <c r="H423" s="251"/>
      <c r="I423" s="252"/>
      <c r="J423" s="308"/>
      <c r="L423" s="16"/>
    </row>
    <row r="424" spans="1:12">
      <c r="A424" s="308"/>
      <c r="B424" s="308"/>
      <c r="C424" s="308"/>
      <c r="D424" s="308"/>
      <c r="E424" s="308"/>
      <c r="F424" s="308"/>
      <c r="G424" s="251"/>
      <c r="H424" s="251"/>
      <c r="I424" s="252"/>
      <c r="J424" s="308"/>
      <c r="L424" s="16"/>
    </row>
    <row r="425" spans="1:12">
      <c r="A425" s="308"/>
      <c r="B425" s="308"/>
      <c r="C425" s="308"/>
      <c r="D425" s="308"/>
      <c r="E425" s="308"/>
      <c r="F425" s="308"/>
      <c r="G425" s="251"/>
      <c r="H425" s="251"/>
      <c r="I425" s="252"/>
      <c r="J425" s="308"/>
      <c r="L425" s="16"/>
    </row>
    <row r="426" spans="1:12">
      <c r="A426" s="308"/>
      <c r="B426" s="308"/>
      <c r="C426" s="308"/>
      <c r="D426" s="308"/>
      <c r="E426" s="308"/>
      <c r="F426" s="308"/>
      <c r="G426" s="251"/>
      <c r="H426" s="251"/>
      <c r="I426" s="252"/>
      <c r="J426" s="308"/>
      <c r="L426" s="16"/>
    </row>
    <row r="427" spans="1:12">
      <c r="A427" s="308"/>
      <c r="B427" s="308"/>
      <c r="C427" s="308"/>
      <c r="D427" s="308"/>
      <c r="E427" s="308"/>
      <c r="F427" s="308"/>
      <c r="G427" s="251"/>
      <c r="H427" s="251"/>
      <c r="I427" s="252"/>
      <c r="J427" s="308"/>
      <c r="L427" s="16"/>
    </row>
    <row r="428" spans="1:12">
      <c r="A428" s="308"/>
      <c r="B428" s="308"/>
      <c r="C428" s="308"/>
      <c r="D428" s="308"/>
      <c r="E428" s="308"/>
      <c r="F428" s="308"/>
      <c r="G428" s="251"/>
      <c r="H428" s="251"/>
      <c r="I428" s="252"/>
      <c r="J428" s="308"/>
      <c r="L428" s="16"/>
    </row>
    <row r="429" spans="1:12">
      <c r="A429" s="308"/>
      <c r="B429" s="308"/>
      <c r="C429" s="308"/>
      <c r="D429" s="308"/>
      <c r="E429" s="308"/>
      <c r="F429" s="308"/>
      <c r="G429" s="251"/>
      <c r="H429" s="251"/>
      <c r="I429" s="252"/>
      <c r="J429" s="308"/>
      <c r="L429" s="16"/>
    </row>
    <row r="430" spans="1:12">
      <c r="A430" s="308"/>
      <c r="B430" s="308"/>
      <c r="C430" s="308"/>
      <c r="D430" s="308"/>
      <c r="E430" s="308"/>
      <c r="F430" s="308"/>
      <c r="G430" s="251"/>
      <c r="H430" s="251"/>
      <c r="I430" s="252"/>
      <c r="J430" s="308"/>
      <c r="L430" s="16"/>
    </row>
    <row r="431" spans="1:12">
      <c r="A431" s="308"/>
      <c r="B431" s="308"/>
      <c r="C431" s="308"/>
      <c r="D431" s="308"/>
      <c r="E431" s="308"/>
      <c r="F431" s="308"/>
      <c r="G431" s="251"/>
      <c r="H431" s="251"/>
      <c r="I431" s="252"/>
      <c r="J431" s="308"/>
      <c r="L431" s="16"/>
    </row>
    <row r="432" spans="1:12">
      <c r="A432" s="308"/>
      <c r="B432" s="308"/>
      <c r="C432" s="308"/>
      <c r="D432" s="308"/>
      <c r="E432" s="308"/>
      <c r="F432" s="308"/>
      <c r="G432" s="251"/>
      <c r="H432" s="251"/>
      <c r="I432" s="252"/>
      <c r="J432" s="308"/>
      <c r="L432" s="16"/>
    </row>
    <row r="433" spans="1:12">
      <c r="A433" s="308"/>
      <c r="B433" s="308"/>
      <c r="C433" s="308"/>
      <c r="D433" s="308"/>
      <c r="E433" s="308"/>
      <c r="F433" s="308"/>
      <c r="G433" s="251"/>
      <c r="H433" s="251"/>
      <c r="I433" s="252"/>
      <c r="J433" s="308"/>
      <c r="L433" s="16"/>
    </row>
    <row r="434" spans="1:12">
      <c r="A434" s="308"/>
      <c r="B434" s="308"/>
      <c r="C434" s="308"/>
      <c r="D434" s="308"/>
      <c r="E434" s="308"/>
      <c r="F434" s="308"/>
      <c r="G434" s="251"/>
      <c r="H434" s="251"/>
      <c r="I434" s="252"/>
      <c r="J434" s="308"/>
      <c r="L434" s="16"/>
    </row>
    <row r="435" spans="1:12">
      <c r="A435" s="308"/>
      <c r="B435" s="308"/>
      <c r="C435" s="308"/>
      <c r="D435" s="308"/>
      <c r="E435" s="308"/>
      <c r="F435" s="308"/>
      <c r="G435" s="251"/>
      <c r="H435" s="251"/>
      <c r="I435" s="252"/>
      <c r="J435" s="308"/>
      <c r="L435" s="16"/>
    </row>
    <row r="436" spans="1:12">
      <c r="A436" s="308"/>
      <c r="B436" s="308"/>
      <c r="C436" s="308"/>
      <c r="D436" s="308"/>
      <c r="E436" s="308"/>
      <c r="F436" s="308"/>
      <c r="G436" s="251"/>
      <c r="H436" s="251"/>
      <c r="I436" s="252"/>
      <c r="J436" s="308"/>
    </row>
    <row r="437" spans="1:12" ht="15.75" thickBot="1">
      <c r="A437" s="308"/>
      <c r="B437" s="308"/>
      <c r="C437" s="308"/>
      <c r="D437" s="308"/>
      <c r="E437" s="308"/>
      <c r="F437" s="308"/>
      <c r="G437" s="251"/>
      <c r="H437" s="251"/>
      <c r="I437" s="252"/>
      <c r="J437" s="308"/>
    </row>
    <row r="438" spans="1:12" ht="15.75" thickTop="1">
      <c r="A438" s="1323" t="s">
        <v>367</v>
      </c>
      <c r="B438" s="1324"/>
      <c r="C438" s="1324"/>
      <c r="D438" s="1324"/>
      <c r="E438" s="1324"/>
      <c r="F438" s="1324"/>
      <c r="G438" s="1324"/>
      <c r="H438" s="1324"/>
      <c r="I438" s="1324"/>
      <c r="J438" s="1325"/>
    </row>
    <row r="439" spans="1:12" ht="25.5">
      <c r="A439" s="512"/>
      <c r="B439" s="1326" t="s">
        <v>10</v>
      </c>
      <c r="C439" s="1326"/>
      <c r="D439" s="1326"/>
      <c r="E439" s="1326"/>
      <c r="F439" s="1326"/>
      <c r="G439" s="312" t="s">
        <v>287</v>
      </c>
      <c r="H439" s="312" t="s">
        <v>288</v>
      </c>
      <c r="I439" s="313" t="s">
        <v>18</v>
      </c>
      <c r="J439" s="377" t="s">
        <v>20</v>
      </c>
    </row>
    <row r="440" spans="1:12">
      <c r="A440" s="378"/>
      <c r="B440" s="1316" t="s">
        <v>205</v>
      </c>
      <c r="C440" s="1317"/>
      <c r="D440" s="1317"/>
      <c r="E440" s="1317"/>
      <c r="F440" s="1318"/>
      <c r="G440" s="179"/>
      <c r="H440" s="179"/>
      <c r="I440" s="180"/>
      <c r="J440" s="379"/>
    </row>
    <row r="441" spans="1:12">
      <c r="A441" s="380">
        <v>1</v>
      </c>
      <c r="B441" s="1322" t="s">
        <v>36</v>
      </c>
      <c r="C441" s="1322"/>
      <c r="D441" s="1322"/>
      <c r="E441" s="1322"/>
      <c r="F441" s="1322"/>
      <c r="G441" s="181"/>
      <c r="H441" s="182"/>
      <c r="I441" s="183"/>
      <c r="J441" s="513">
        <f>SUM(J442:J445)</f>
        <v>10278.193499999999</v>
      </c>
    </row>
    <row r="442" spans="1:12">
      <c r="A442" s="412" t="s">
        <v>39</v>
      </c>
      <c r="B442" s="1327" t="s">
        <v>364</v>
      </c>
      <c r="C442" s="1328"/>
      <c r="D442" s="1328"/>
      <c r="E442" s="1328"/>
      <c r="F442" s="1329"/>
      <c r="G442" s="185">
        <f>81+291.46</f>
        <v>372.46</v>
      </c>
      <c r="H442" s="186" t="s">
        <v>92</v>
      </c>
      <c r="I442" s="187">
        <v>15</v>
      </c>
      <c r="J442" s="514">
        <f>G442*I442</f>
        <v>5586.9</v>
      </c>
    </row>
    <row r="443" spans="1:12" ht="24.75" customHeight="1">
      <c r="A443" s="412" t="s">
        <v>345</v>
      </c>
      <c r="B443" s="1313" t="s">
        <v>93</v>
      </c>
      <c r="C443" s="1314"/>
      <c r="D443" s="1314"/>
      <c r="E443" s="1314"/>
      <c r="F443" s="1315"/>
      <c r="G443" s="185">
        <v>691.27</v>
      </c>
      <c r="H443" s="186" t="s">
        <v>96</v>
      </c>
      <c r="I443" s="187">
        <v>1.62</v>
      </c>
      <c r="J443" s="514">
        <f>G443*I443</f>
        <v>1119.8574000000001</v>
      </c>
    </row>
    <row r="444" spans="1:12">
      <c r="A444" s="412" t="s">
        <v>347</v>
      </c>
      <c r="B444" s="1313" t="s">
        <v>363</v>
      </c>
      <c r="C444" s="1314"/>
      <c r="D444" s="1314"/>
      <c r="E444" s="1314"/>
      <c r="F444" s="1315"/>
      <c r="G444" s="185">
        <f>G442</f>
        <v>372.46</v>
      </c>
      <c r="H444" s="186" t="s">
        <v>92</v>
      </c>
      <c r="I444" s="187">
        <v>3.69</v>
      </c>
      <c r="J444" s="514">
        <f>G444*I444</f>
        <v>1374.3773999999999</v>
      </c>
    </row>
    <row r="445" spans="1:12">
      <c r="A445" s="412" t="s">
        <v>349</v>
      </c>
      <c r="B445" s="1313" t="s">
        <v>346</v>
      </c>
      <c r="C445" s="1314"/>
      <c r="D445" s="1314"/>
      <c r="E445" s="1314"/>
      <c r="F445" s="1315"/>
      <c r="G445" s="185">
        <f>215.36+25.81</f>
        <v>241.17000000000002</v>
      </c>
      <c r="H445" s="186" t="s">
        <v>96</v>
      </c>
      <c r="I445" s="187">
        <v>9.11</v>
      </c>
      <c r="J445" s="514">
        <f>G445*I445</f>
        <v>2197.0587</v>
      </c>
    </row>
    <row r="446" spans="1:12" ht="12.6" customHeight="1">
      <c r="A446" s="380">
        <v>4</v>
      </c>
      <c r="B446" s="1322" t="s">
        <v>63</v>
      </c>
      <c r="C446" s="1322"/>
      <c r="D446" s="1322"/>
      <c r="E446" s="1322"/>
      <c r="F446" s="1322"/>
      <c r="G446" s="182"/>
      <c r="H446" s="189"/>
      <c r="I446" s="189"/>
      <c r="J446" s="384">
        <f>J447</f>
        <v>7343.52</v>
      </c>
    </row>
    <row r="447" spans="1:12" ht="27" customHeight="1">
      <c r="A447" s="389" t="s">
        <v>62</v>
      </c>
      <c r="B447" s="1335" t="s">
        <v>57</v>
      </c>
      <c r="C447" s="1335"/>
      <c r="D447" s="1335"/>
      <c r="E447" s="1335"/>
      <c r="F447" s="1335"/>
      <c r="G447" s="196">
        <f>5.85+3.32</f>
        <v>9.17</v>
      </c>
      <c r="H447" s="186" t="s">
        <v>96</v>
      </c>
      <c r="I447" s="197">
        <v>800.82</v>
      </c>
      <c r="J447" s="390">
        <f t="shared" ref="J447" si="17">ROUND(G447*I447,2)</f>
        <v>7343.52</v>
      </c>
    </row>
    <row r="448" spans="1:12">
      <c r="A448" s="393">
        <v>5</v>
      </c>
      <c r="B448" s="1336" t="s">
        <v>78</v>
      </c>
      <c r="C448" s="1337"/>
      <c r="D448" s="1337"/>
      <c r="E448" s="1337"/>
      <c r="F448" s="1338"/>
      <c r="G448" s="292"/>
      <c r="H448" s="204"/>
      <c r="I448" s="204"/>
      <c r="J448" s="394">
        <f>SUM(J449:J449)</f>
        <v>7037.4075000000003</v>
      </c>
    </row>
    <row r="449" spans="1:10">
      <c r="A449" s="397" t="s">
        <v>337</v>
      </c>
      <c r="B449" s="1313" t="s">
        <v>334</v>
      </c>
      <c r="C449" s="1314"/>
      <c r="D449" s="1314"/>
      <c r="E449" s="1314"/>
      <c r="F449" s="1315"/>
      <c r="G449" s="201">
        <v>15.63</v>
      </c>
      <c r="H449" s="186" t="s">
        <v>92</v>
      </c>
      <c r="I449" s="210">
        <v>450.25</v>
      </c>
      <c r="J449" s="390">
        <f>G449*I449</f>
        <v>7037.4075000000003</v>
      </c>
    </row>
    <row r="450" spans="1:10">
      <c r="A450" s="417"/>
      <c r="B450" s="1316" t="s">
        <v>311</v>
      </c>
      <c r="C450" s="1317"/>
      <c r="D450" s="1317"/>
      <c r="E450" s="1317"/>
      <c r="F450" s="1318"/>
      <c r="G450" s="182"/>
      <c r="H450" s="189"/>
      <c r="I450" s="183"/>
      <c r="J450" s="418"/>
    </row>
    <row r="451" spans="1:10">
      <c r="A451" s="380">
        <v>3</v>
      </c>
      <c r="B451" s="1301" t="s">
        <v>315</v>
      </c>
      <c r="C451" s="1302"/>
      <c r="D451" s="1302"/>
      <c r="E451" s="1302"/>
      <c r="F451" s="1303"/>
      <c r="G451" s="182"/>
      <c r="H451" s="189"/>
      <c r="I451" s="183"/>
      <c r="J451" s="384">
        <f>SUM(J452:J454)</f>
        <v>3069.7200000000003</v>
      </c>
    </row>
    <row r="452" spans="1:10" ht="24" customHeight="1">
      <c r="A452" s="385" t="s">
        <v>54</v>
      </c>
      <c r="B452" s="1330" t="s">
        <v>93</v>
      </c>
      <c r="C452" s="1330"/>
      <c r="D452" s="1330"/>
      <c r="E452" s="1330"/>
      <c r="F452" s="1330"/>
      <c r="G452" s="205">
        <f>21.42+84.82</f>
        <v>106.24</v>
      </c>
      <c r="H452" s="310" t="s">
        <v>96</v>
      </c>
      <c r="I452" s="227">
        <v>1.62</v>
      </c>
      <c r="J452" s="395">
        <f>ROUND(G452*I452,2)</f>
        <v>172.11</v>
      </c>
    </row>
    <row r="453" spans="1:10">
      <c r="A453" s="385" t="s">
        <v>95</v>
      </c>
      <c r="B453" s="1331" t="s">
        <v>94</v>
      </c>
      <c r="C453" s="1332"/>
      <c r="D453" s="1332"/>
      <c r="E453" s="1332"/>
      <c r="F453" s="1333"/>
      <c r="G453" s="205">
        <f>1.29+5.09</f>
        <v>6.38</v>
      </c>
      <c r="H453" s="310" t="s">
        <v>92</v>
      </c>
      <c r="I453" s="227">
        <v>219.55</v>
      </c>
      <c r="J453" s="395">
        <f>ROUND(G453*I453,2)</f>
        <v>1400.73</v>
      </c>
    </row>
    <row r="454" spans="1:10">
      <c r="A454" s="355" t="s">
        <v>97</v>
      </c>
      <c r="B454" s="1291" t="s">
        <v>370</v>
      </c>
      <c r="C454" s="1292"/>
      <c r="D454" s="1292"/>
      <c r="E454" s="1292"/>
      <c r="F454" s="1334"/>
      <c r="G454" s="300">
        <f>41.18+84.82</f>
        <v>126</v>
      </c>
      <c r="H454" s="310" t="s">
        <v>96</v>
      </c>
      <c r="I454" s="228">
        <v>11.88</v>
      </c>
      <c r="J454" s="515">
        <f>G454*I454</f>
        <v>1496.88</v>
      </c>
    </row>
    <row r="455" spans="1:10">
      <c r="A455" s="380">
        <v>8</v>
      </c>
      <c r="B455" s="1322" t="s">
        <v>116</v>
      </c>
      <c r="C455" s="1322"/>
      <c r="D455" s="1322"/>
      <c r="E455" s="1322"/>
      <c r="F455" s="1322"/>
      <c r="G455" s="182"/>
      <c r="H455" s="189"/>
      <c r="I455" s="189"/>
      <c r="J455" s="384">
        <f>J456</f>
        <v>1121.3</v>
      </c>
    </row>
    <row r="456" spans="1:10" ht="24.75" customHeight="1">
      <c r="A456" s="397" t="s">
        <v>335</v>
      </c>
      <c r="B456" s="1313" t="s">
        <v>336</v>
      </c>
      <c r="C456" s="1314"/>
      <c r="D456" s="1314"/>
      <c r="E456" s="1314"/>
      <c r="F456" s="1315"/>
      <c r="G456" s="201">
        <v>1</v>
      </c>
      <c r="H456" s="186" t="s">
        <v>80</v>
      </c>
      <c r="I456" s="235">
        <v>1121.3</v>
      </c>
      <c r="J456" s="390">
        <f t="shared" ref="J456" si="18">ROUND(G456*I456,2)</f>
        <v>1121.3</v>
      </c>
    </row>
    <row r="457" spans="1:10">
      <c r="A457" s="439">
        <v>11</v>
      </c>
      <c r="B457" s="1310" t="s">
        <v>195</v>
      </c>
      <c r="C457" s="1311"/>
      <c r="D457" s="1311"/>
      <c r="E457" s="1311"/>
      <c r="F457" s="1312"/>
      <c r="G457" s="182"/>
      <c r="H457" s="189"/>
      <c r="I457" s="189"/>
      <c r="J457" s="384">
        <f>SUM(J458:J459)</f>
        <v>5285.5199999999995</v>
      </c>
    </row>
    <row r="458" spans="1:10">
      <c r="A458" s="397" t="s">
        <v>343</v>
      </c>
      <c r="B458" s="1313" t="s">
        <v>344</v>
      </c>
      <c r="C458" s="1314"/>
      <c r="D458" s="1314"/>
      <c r="E458" s="1314"/>
      <c r="F458" s="1315"/>
      <c r="G458" s="201">
        <f>6+3</f>
        <v>9</v>
      </c>
      <c r="H458" s="186" t="s">
        <v>96</v>
      </c>
      <c r="I458" s="235">
        <v>541.22</v>
      </c>
      <c r="J458" s="390">
        <f t="shared" ref="J458" si="19">ROUND(G458*I458,2)</f>
        <v>4870.9799999999996</v>
      </c>
    </row>
    <row r="459" spans="1:10" ht="18.600000000000001" customHeight="1">
      <c r="A459" s="412" t="s">
        <v>368</v>
      </c>
      <c r="B459" s="1313" t="s">
        <v>369</v>
      </c>
      <c r="C459" s="1314"/>
      <c r="D459" s="1314"/>
      <c r="E459" s="1314"/>
      <c r="F459" s="1315"/>
      <c r="G459" s="201">
        <v>18</v>
      </c>
      <c r="H459" s="186" t="s">
        <v>96</v>
      </c>
      <c r="I459" s="235">
        <v>23.03</v>
      </c>
      <c r="J459" s="390">
        <f>G459*I459</f>
        <v>414.54</v>
      </c>
    </row>
    <row r="460" spans="1:10">
      <c r="A460" s="417"/>
      <c r="B460" s="1316" t="s">
        <v>348</v>
      </c>
      <c r="C460" s="1317"/>
      <c r="D460" s="1317"/>
      <c r="E460" s="1317"/>
      <c r="F460" s="1318"/>
      <c r="G460" s="182"/>
      <c r="H460" s="189"/>
      <c r="I460" s="183"/>
      <c r="J460" s="384">
        <f>J461+J467+J474+J477</f>
        <v>25377.097600000001</v>
      </c>
    </row>
    <row r="461" spans="1:10">
      <c r="A461" s="380">
        <v>1</v>
      </c>
      <c r="B461" s="1301" t="s">
        <v>91</v>
      </c>
      <c r="C461" s="1302"/>
      <c r="D461" s="1302"/>
      <c r="E461" s="1302"/>
      <c r="F461" s="1303"/>
      <c r="G461" s="221"/>
      <c r="H461" s="222"/>
      <c r="I461" s="223"/>
      <c r="J461" s="419">
        <f>SUM(J462:J466)</f>
        <v>6087.4375999999993</v>
      </c>
    </row>
    <row r="462" spans="1:10">
      <c r="A462" s="397" t="s">
        <v>37</v>
      </c>
      <c r="B462" s="1313" t="s">
        <v>85</v>
      </c>
      <c r="C462" s="1314"/>
      <c r="D462" s="1314"/>
      <c r="E462" s="1314"/>
      <c r="F462" s="1315"/>
      <c r="G462" s="201">
        <f>1.8+1.46+1.18</f>
        <v>4.4399999999999995</v>
      </c>
      <c r="H462" s="186" t="s">
        <v>92</v>
      </c>
      <c r="I462" s="235">
        <v>31.05</v>
      </c>
      <c r="J462" s="390">
        <f>G462*I462</f>
        <v>137.86199999999999</v>
      </c>
    </row>
    <row r="463" spans="1:10">
      <c r="A463" s="397" t="s">
        <v>39</v>
      </c>
      <c r="B463" s="1319" t="s">
        <v>49</v>
      </c>
      <c r="C463" s="1320"/>
      <c r="D463" s="1320"/>
      <c r="E463" s="1320"/>
      <c r="F463" s="1321"/>
      <c r="G463" s="201">
        <f>32+36</f>
        <v>68</v>
      </c>
      <c r="H463" s="186" t="s">
        <v>52</v>
      </c>
      <c r="I463" s="235">
        <v>36.01</v>
      </c>
      <c r="J463" s="390">
        <f t="shared" ref="J463:J466" si="20">G463*I463</f>
        <v>2448.6799999999998</v>
      </c>
    </row>
    <row r="464" spans="1:10">
      <c r="A464" s="397" t="s">
        <v>345</v>
      </c>
      <c r="B464" s="242" t="s">
        <v>87</v>
      </c>
      <c r="C464" s="328"/>
      <c r="D464" s="328"/>
      <c r="E464" s="328"/>
      <c r="F464" s="329"/>
      <c r="G464" s="201">
        <f>162+131.4+106.2</f>
        <v>399.59999999999997</v>
      </c>
      <c r="H464" s="186" t="s">
        <v>50</v>
      </c>
      <c r="I464" s="235">
        <v>5.01</v>
      </c>
      <c r="J464" s="390">
        <f t="shared" si="20"/>
        <v>2001.9959999999996</v>
      </c>
    </row>
    <row r="465" spans="1:12">
      <c r="A465" s="397" t="s">
        <v>347</v>
      </c>
      <c r="B465" s="243" t="s">
        <v>89</v>
      </c>
      <c r="C465" s="328"/>
      <c r="D465" s="328"/>
      <c r="E465" s="328"/>
      <c r="F465" s="329"/>
      <c r="G465" s="201">
        <f>1.8+1.46+1.18</f>
        <v>4.4399999999999995</v>
      </c>
      <c r="H465" s="186" t="s">
        <v>92</v>
      </c>
      <c r="I465" s="235">
        <v>250.43</v>
      </c>
      <c r="J465" s="390">
        <f t="shared" si="20"/>
        <v>1111.9091999999998</v>
      </c>
    </row>
    <row r="466" spans="1:12">
      <c r="A466" s="397" t="s">
        <v>349</v>
      </c>
      <c r="B466" s="242" t="s">
        <v>90</v>
      </c>
      <c r="C466" s="328"/>
      <c r="D466" s="328"/>
      <c r="E466" s="328"/>
      <c r="F466" s="329"/>
      <c r="G466" s="201">
        <f>1.8+1.46+1.18</f>
        <v>4.4399999999999995</v>
      </c>
      <c r="H466" s="186" t="s">
        <v>92</v>
      </c>
      <c r="I466" s="235">
        <v>87.16</v>
      </c>
      <c r="J466" s="390">
        <f t="shared" si="20"/>
        <v>386.99039999999997</v>
      </c>
    </row>
    <row r="467" spans="1:12" ht="13.9" customHeight="1">
      <c r="A467" s="380">
        <v>2</v>
      </c>
      <c r="B467" s="1301" t="s">
        <v>351</v>
      </c>
      <c r="C467" s="1302"/>
      <c r="D467" s="1302"/>
      <c r="E467" s="1302"/>
      <c r="F467" s="1303"/>
      <c r="G467" s="221"/>
      <c r="H467" s="222"/>
      <c r="I467" s="223"/>
      <c r="J467" s="419">
        <f>SUM(J468:J473)</f>
        <v>10852.02</v>
      </c>
    </row>
    <row r="468" spans="1:12">
      <c r="A468" s="397" t="s">
        <v>84</v>
      </c>
      <c r="B468" s="1313" t="s">
        <v>352</v>
      </c>
      <c r="C468" s="1314"/>
      <c r="D468" s="1314"/>
      <c r="E468" s="1314"/>
      <c r="F468" s="1315"/>
      <c r="G468" s="244">
        <v>0.45</v>
      </c>
      <c r="H468" s="202" t="s">
        <v>92</v>
      </c>
      <c r="I468" s="245">
        <v>41.4</v>
      </c>
      <c r="J468" s="390">
        <f>ROUND(G468*I468,2)</f>
        <v>18.63</v>
      </c>
    </row>
    <row r="469" spans="1:12">
      <c r="A469" s="397" t="s">
        <v>43</v>
      </c>
      <c r="B469" s="333" t="s">
        <v>353</v>
      </c>
      <c r="C469" s="328"/>
      <c r="D469" s="328"/>
      <c r="E469" s="328"/>
      <c r="F469" s="329"/>
      <c r="G469" s="201">
        <f>60-6+48.54+39.46</f>
        <v>142</v>
      </c>
      <c r="H469" s="186" t="s">
        <v>96</v>
      </c>
      <c r="I469" s="235">
        <v>38.67</v>
      </c>
      <c r="J469" s="390">
        <f t="shared" ref="J469:J473" si="21">ROUND(G469*I469,2)</f>
        <v>5491.14</v>
      </c>
    </row>
    <row r="470" spans="1:12">
      <c r="A470" s="397" t="s">
        <v>240</v>
      </c>
      <c r="B470" s="333" t="s">
        <v>89</v>
      </c>
      <c r="C470" s="328"/>
      <c r="D470" s="328"/>
      <c r="E470" s="328"/>
      <c r="F470" s="329"/>
      <c r="G470" s="201">
        <f>0.72+0.81</f>
        <v>1.53</v>
      </c>
      <c r="H470" s="186" t="s">
        <v>92</v>
      </c>
      <c r="I470" s="235">
        <v>250.43</v>
      </c>
      <c r="J470" s="390">
        <f t="shared" si="21"/>
        <v>383.16</v>
      </c>
    </row>
    <row r="471" spans="1:12">
      <c r="A471" s="397" t="s">
        <v>45</v>
      </c>
      <c r="B471" s="333" t="s">
        <v>354</v>
      </c>
      <c r="C471" s="328"/>
      <c r="D471" s="328"/>
      <c r="E471" s="328"/>
      <c r="F471" s="329"/>
      <c r="G471" s="201">
        <f>64.8+72.9</f>
        <v>137.69999999999999</v>
      </c>
      <c r="H471" s="186" t="s">
        <v>50</v>
      </c>
      <c r="I471" s="235">
        <v>5.01</v>
      </c>
      <c r="J471" s="390">
        <f t="shared" si="21"/>
        <v>689.88</v>
      </c>
    </row>
    <row r="472" spans="1:12">
      <c r="A472" s="397" t="s">
        <v>47</v>
      </c>
      <c r="B472" s="333" t="s">
        <v>321</v>
      </c>
      <c r="C472" s="328"/>
      <c r="D472" s="328"/>
      <c r="E472" s="328"/>
      <c r="F472" s="329"/>
      <c r="G472" s="201">
        <f>0.72+0.81</f>
        <v>1.53</v>
      </c>
      <c r="H472" s="186" t="s">
        <v>92</v>
      </c>
      <c r="I472" s="235">
        <v>60.2</v>
      </c>
      <c r="J472" s="390">
        <f t="shared" si="21"/>
        <v>92.11</v>
      </c>
    </row>
    <row r="473" spans="1:12">
      <c r="A473" s="397" t="s">
        <v>48</v>
      </c>
      <c r="B473" s="333" t="s">
        <v>323</v>
      </c>
      <c r="C473" s="328"/>
      <c r="D473" s="328"/>
      <c r="E473" s="328"/>
      <c r="F473" s="329"/>
      <c r="G473" s="201">
        <f>19.2+21.6</f>
        <v>40.799999999999997</v>
      </c>
      <c r="H473" s="186" t="s">
        <v>96</v>
      </c>
      <c r="I473" s="235">
        <v>102.38</v>
      </c>
      <c r="J473" s="390">
        <f t="shared" si="21"/>
        <v>4177.1000000000004</v>
      </c>
    </row>
    <row r="474" spans="1:12">
      <c r="A474" s="380">
        <v>3</v>
      </c>
      <c r="B474" s="1301" t="s">
        <v>208</v>
      </c>
      <c r="C474" s="1302"/>
      <c r="D474" s="1302"/>
      <c r="E474" s="1302"/>
      <c r="F474" s="1303"/>
      <c r="G474" s="221"/>
      <c r="H474" s="222"/>
      <c r="I474" s="223"/>
      <c r="J474" s="419">
        <f>SUM(J475:J476)</f>
        <v>4322.4799999999996</v>
      </c>
    </row>
    <row r="475" spans="1:12">
      <c r="A475" s="397" t="s">
        <v>54</v>
      </c>
      <c r="B475" s="333" t="s">
        <v>65</v>
      </c>
      <c r="C475" s="328"/>
      <c r="D475" s="328"/>
      <c r="E475" s="328"/>
      <c r="F475" s="329"/>
      <c r="G475" s="201">
        <v>284</v>
      </c>
      <c r="H475" s="186" t="s">
        <v>96</v>
      </c>
      <c r="I475" s="235">
        <v>3.85</v>
      </c>
      <c r="J475" s="390">
        <f>ROUND(G475*I475,2)</f>
        <v>1093.4000000000001</v>
      </c>
    </row>
    <row r="476" spans="1:12">
      <c r="A476" s="397" t="s">
        <v>95</v>
      </c>
      <c r="B476" s="333" t="s">
        <v>66</v>
      </c>
      <c r="C476" s="328"/>
      <c r="D476" s="328"/>
      <c r="E476" s="328"/>
      <c r="F476" s="329"/>
      <c r="G476" s="201">
        <v>284</v>
      </c>
      <c r="H476" s="186" t="s">
        <v>96</v>
      </c>
      <c r="I476" s="235">
        <v>11.37</v>
      </c>
      <c r="J476" s="390">
        <f>ROUND(G476*I476,2)</f>
        <v>3229.08</v>
      </c>
    </row>
    <row r="477" spans="1:12" ht="12.6" customHeight="1">
      <c r="A477" s="380">
        <v>4</v>
      </c>
      <c r="B477" s="1301" t="s">
        <v>350</v>
      </c>
      <c r="C477" s="1302"/>
      <c r="D477" s="1302"/>
      <c r="E477" s="1302"/>
      <c r="F477" s="1303"/>
      <c r="G477" s="221"/>
      <c r="H477" s="222"/>
      <c r="I477" s="223"/>
      <c r="J477" s="419">
        <f>J478</f>
        <v>4115.16</v>
      </c>
    </row>
    <row r="478" spans="1:12">
      <c r="A478" s="397" t="s">
        <v>58</v>
      </c>
      <c r="B478" s="333" t="s">
        <v>193</v>
      </c>
      <c r="C478" s="328"/>
      <c r="D478" s="328"/>
      <c r="E478" s="328"/>
      <c r="F478" s="329"/>
      <c r="G478" s="201">
        <v>284</v>
      </c>
      <c r="H478" s="186" t="s">
        <v>96</v>
      </c>
      <c r="I478" s="235">
        <v>14.49</v>
      </c>
      <c r="J478" s="390">
        <f>ROUND(G478*I478,2)</f>
        <v>4115.16</v>
      </c>
      <c r="L478" s="174"/>
    </row>
    <row r="479" spans="1:12">
      <c r="A479" s="1304" t="s">
        <v>21</v>
      </c>
      <c r="B479" s="1305"/>
      <c r="C479" s="1306"/>
      <c r="D479" s="1306"/>
      <c r="E479" s="1306"/>
      <c r="F479" s="1306"/>
      <c r="G479" s="1306"/>
      <c r="H479" s="1306"/>
      <c r="I479" s="246"/>
      <c r="J479" s="462">
        <f>J441+J446+J448+J451+J455+J457+J460</f>
        <v>59512.758600000001</v>
      </c>
    </row>
    <row r="480" spans="1:12">
      <c r="A480" s="1307" t="s">
        <v>427</v>
      </c>
      <c r="B480" s="1308"/>
      <c r="C480" s="1308"/>
      <c r="D480" s="1308"/>
      <c r="E480" s="1308"/>
      <c r="F480" s="1308"/>
      <c r="G480" s="1308"/>
      <c r="H480" s="1308"/>
      <c r="I480" s="1308"/>
      <c r="J480" s="1309"/>
    </row>
    <row r="481" spans="1:10">
      <c r="A481" s="374"/>
      <c r="B481" s="342"/>
      <c r="C481" s="342"/>
      <c r="D481" s="342"/>
      <c r="E481" s="342"/>
      <c r="F481" s="342"/>
      <c r="G481" s="290"/>
      <c r="H481" s="290"/>
      <c r="I481" s="342"/>
      <c r="J481" s="375"/>
    </row>
    <row r="482" spans="1:10">
      <c r="A482" s="374"/>
      <c r="B482" s="342"/>
      <c r="C482" s="342"/>
      <c r="D482" s="342"/>
      <c r="E482" s="342"/>
      <c r="F482" s="342"/>
      <c r="G482" s="290"/>
      <c r="H482" s="290"/>
      <c r="I482" s="342"/>
      <c r="J482" s="375"/>
    </row>
    <row r="483" spans="1:10">
      <c r="A483" s="374"/>
      <c r="B483" s="342"/>
      <c r="C483" s="342"/>
      <c r="D483" s="342"/>
      <c r="E483" s="342"/>
      <c r="F483" s="342"/>
      <c r="G483" s="290"/>
      <c r="H483" s="290"/>
      <c r="I483" s="342"/>
      <c r="J483" s="375"/>
    </row>
    <row r="484" spans="1:10">
      <c r="A484" s="374"/>
      <c r="B484" s="342"/>
      <c r="C484" s="342"/>
      <c r="D484" s="342"/>
      <c r="E484" s="342"/>
      <c r="F484" s="342"/>
      <c r="G484" s="290"/>
      <c r="H484" s="290"/>
      <c r="I484" s="342"/>
      <c r="J484" s="375"/>
    </row>
    <row r="485" spans="1:10">
      <c r="A485" s="1297" t="s">
        <v>379</v>
      </c>
      <c r="B485" s="1298"/>
      <c r="C485" s="1298"/>
      <c r="D485" s="1298"/>
      <c r="E485" s="1298"/>
      <c r="F485" s="1299" t="s">
        <v>296</v>
      </c>
      <c r="G485" s="1299"/>
      <c r="H485" s="1299"/>
      <c r="I485" s="1299"/>
      <c r="J485" s="1300"/>
    </row>
    <row r="486" spans="1:10">
      <c r="A486" s="1297" t="s">
        <v>380</v>
      </c>
      <c r="B486" s="1298"/>
      <c r="C486" s="1298"/>
      <c r="D486" s="1298"/>
      <c r="E486" s="1298"/>
      <c r="F486" s="1299" t="s">
        <v>381</v>
      </c>
      <c r="G486" s="1299"/>
      <c r="H486" s="1299"/>
      <c r="I486" s="1299"/>
      <c r="J486" s="1300"/>
    </row>
    <row r="487" spans="1:10">
      <c r="A487" s="1297" t="s">
        <v>382</v>
      </c>
      <c r="B487" s="1298"/>
      <c r="C487" s="1298"/>
      <c r="D487" s="1298"/>
      <c r="E487" s="1298"/>
      <c r="F487" s="1299" t="s">
        <v>383</v>
      </c>
      <c r="G487" s="1299"/>
      <c r="H487" s="1299"/>
      <c r="I487" s="1299"/>
      <c r="J487" s="1300"/>
    </row>
    <row r="488" spans="1:10" ht="15.75" thickBot="1">
      <c r="A488" s="486"/>
      <c r="B488" s="487"/>
      <c r="C488" s="487"/>
      <c r="D488" s="487"/>
      <c r="E488" s="487"/>
      <c r="F488" s="400"/>
      <c r="G488" s="399"/>
      <c r="H488" s="399"/>
      <c r="I488" s="400"/>
      <c r="J488" s="488"/>
    </row>
    <row r="489" spans="1:10" ht="15.75" thickTop="1">
      <c r="A489" s="308"/>
      <c r="B489" s="308"/>
      <c r="C489" s="308"/>
      <c r="D489" s="308"/>
      <c r="E489" s="308"/>
      <c r="F489" s="308"/>
      <c r="G489" s="251"/>
      <c r="H489" s="251"/>
      <c r="I489" s="252"/>
      <c r="J489" s="308"/>
    </row>
    <row r="490" spans="1:10">
      <c r="A490" s="308"/>
      <c r="B490" s="308"/>
      <c r="C490" s="308"/>
      <c r="D490" s="308"/>
      <c r="E490" s="308"/>
      <c r="F490" s="308"/>
      <c r="G490" s="251"/>
      <c r="H490" s="251"/>
      <c r="I490" s="252"/>
      <c r="J490" s="308"/>
    </row>
  </sheetData>
  <mergeCells count="438">
    <mergeCell ref="A360:E360"/>
    <mergeCell ref="F360:J360"/>
    <mergeCell ref="A357:E357"/>
    <mergeCell ref="F357:J357"/>
    <mergeCell ref="A358:E358"/>
    <mergeCell ref="F358:J358"/>
    <mergeCell ref="A359:E359"/>
    <mergeCell ref="F359:J359"/>
    <mergeCell ref="A356:J356"/>
    <mergeCell ref="B75:C75"/>
    <mergeCell ref="D75:J75"/>
    <mergeCell ref="B364:F364"/>
    <mergeCell ref="B365:F365"/>
    <mergeCell ref="G330:G331"/>
    <mergeCell ref="B330:F331"/>
    <mergeCell ref="A330:A331"/>
    <mergeCell ref="A353:G353"/>
    <mergeCell ref="A354:G354"/>
    <mergeCell ref="H330:I330"/>
    <mergeCell ref="A328:J328"/>
    <mergeCell ref="A329:J329"/>
    <mergeCell ref="J330:J331"/>
    <mergeCell ref="B333:F333"/>
    <mergeCell ref="B334:F334"/>
    <mergeCell ref="B335:F335"/>
    <mergeCell ref="B336:F336"/>
    <mergeCell ref="B337:F337"/>
    <mergeCell ref="B242:F242"/>
    <mergeCell ref="B246:F246"/>
    <mergeCell ref="A292:J292"/>
    <mergeCell ref="A321:H321"/>
    <mergeCell ref="A322:H322"/>
    <mergeCell ref="A323:H323"/>
    <mergeCell ref="A362:J362"/>
    <mergeCell ref="A332:J332"/>
    <mergeCell ref="A394:J394"/>
    <mergeCell ref="A395:J395"/>
    <mergeCell ref="A173:J173"/>
    <mergeCell ref="B174:F174"/>
    <mergeCell ref="B183:F183"/>
    <mergeCell ref="A277:J277"/>
    <mergeCell ref="B278:F278"/>
    <mergeCell ref="B283:F283"/>
    <mergeCell ref="B286:F286"/>
    <mergeCell ref="B181:F181"/>
    <mergeCell ref="B180:F180"/>
    <mergeCell ref="B279:F279"/>
    <mergeCell ref="B280:F280"/>
    <mergeCell ref="B281:F281"/>
    <mergeCell ref="B259:F259"/>
    <mergeCell ref="B258:F258"/>
    <mergeCell ref="B257:F257"/>
    <mergeCell ref="B255:F255"/>
    <mergeCell ref="B254:F254"/>
    <mergeCell ref="B260:F260"/>
    <mergeCell ref="B261:F261"/>
    <mergeCell ref="B262:F262"/>
    <mergeCell ref="B263:F263"/>
    <mergeCell ref="B241:F241"/>
    <mergeCell ref="B265:F265"/>
    <mergeCell ref="B266:F266"/>
    <mergeCell ref="A317:H317"/>
    <mergeCell ref="A318:H318"/>
    <mergeCell ref="A319:H319"/>
    <mergeCell ref="B267:F267"/>
    <mergeCell ref="B268:F268"/>
    <mergeCell ref="B271:F271"/>
    <mergeCell ref="B272:F272"/>
    <mergeCell ref="B273:F273"/>
    <mergeCell ref="B293:F293"/>
    <mergeCell ref="B294:F294"/>
    <mergeCell ref="B295:F295"/>
    <mergeCell ref="B308:F308"/>
    <mergeCell ref="B312:F312"/>
    <mergeCell ref="B300:F300"/>
    <mergeCell ref="B301:F301"/>
    <mergeCell ref="B274:F274"/>
    <mergeCell ref="B288:F288"/>
    <mergeCell ref="B245:F245"/>
    <mergeCell ref="B244:F244"/>
    <mergeCell ref="B243:F243"/>
    <mergeCell ref="B256:F256"/>
    <mergeCell ref="B252:F252"/>
    <mergeCell ref="B251:F251"/>
    <mergeCell ref="B250:F250"/>
    <mergeCell ref="B249:F249"/>
    <mergeCell ref="B248:F248"/>
    <mergeCell ref="B247:F247"/>
    <mergeCell ref="B253:F253"/>
    <mergeCell ref="B231:F231"/>
    <mergeCell ref="B232:F232"/>
    <mergeCell ref="B233:F233"/>
    <mergeCell ref="B234:F234"/>
    <mergeCell ref="B235:F235"/>
    <mergeCell ref="B236:F236"/>
    <mergeCell ref="B237:F237"/>
    <mergeCell ref="B238:F238"/>
    <mergeCell ref="B239:F239"/>
    <mergeCell ref="B219:F219"/>
    <mergeCell ref="B220:F220"/>
    <mergeCell ref="B221:F221"/>
    <mergeCell ref="B224:F224"/>
    <mergeCell ref="B226:F226"/>
    <mergeCell ref="B227:F227"/>
    <mergeCell ref="B228:F228"/>
    <mergeCell ref="B229:F229"/>
    <mergeCell ref="B230:F230"/>
    <mergeCell ref="B205:F205"/>
    <mergeCell ref="B206:F206"/>
    <mergeCell ref="B207:F207"/>
    <mergeCell ref="B209:F209"/>
    <mergeCell ref="B210:F210"/>
    <mergeCell ref="B212:F212"/>
    <mergeCell ref="B215:F215"/>
    <mergeCell ref="B217:F217"/>
    <mergeCell ref="B218:F218"/>
    <mergeCell ref="B142:F142"/>
    <mergeCell ref="B152:F152"/>
    <mergeCell ref="B160:F160"/>
    <mergeCell ref="B161:F161"/>
    <mergeCell ref="B162:F162"/>
    <mergeCell ref="B163:F163"/>
    <mergeCell ref="B164:F164"/>
    <mergeCell ref="B166:F166"/>
    <mergeCell ref="B165:F165"/>
    <mergeCell ref="B159:F159"/>
    <mergeCell ref="B151:F151"/>
    <mergeCell ref="B153:F153"/>
    <mergeCell ref="B154:F154"/>
    <mergeCell ref="B155:F155"/>
    <mergeCell ref="B202:F202"/>
    <mergeCell ref="B204:F204"/>
    <mergeCell ref="B141:F141"/>
    <mergeCell ref="B143:F143"/>
    <mergeCell ref="B144:F144"/>
    <mergeCell ref="B145:F145"/>
    <mergeCell ref="B146:F146"/>
    <mergeCell ref="B147:F147"/>
    <mergeCell ref="B149:F149"/>
    <mergeCell ref="B150:F150"/>
    <mergeCell ref="B156:F156"/>
    <mergeCell ref="B175:F175"/>
    <mergeCell ref="B176:F176"/>
    <mergeCell ref="B178:F178"/>
    <mergeCell ref="B168:F168"/>
    <mergeCell ref="B167:F167"/>
    <mergeCell ref="B189:F189"/>
    <mergeCell ref="B190:F190"/>
    <mergeCell ref="B193:F193"/>
    <mergeCell ref="B194:F194"/>
    <mergeCell ref="B192:F192"/>
    <mergeCell ref="B200:F200"/>
    <mergeCell ref="B201:F201"/>
    <mergeCell ref="B157:F157"/>
    <mergeCell ref="H17:J17"/>
    <mergeCell ref="A17:B17"/>
    <mergeCell ref="C17:D17"/>
    <mergeCell ref="E17:G17"/>
    <mergeCell ref="A131:J131"/>
    <mergeCell ref="A38:C38"/>
    <mergeCell ref="A37:J37"/>
    <mergeCell ref="D39:J39"/>
    <mergeCell ref="D40:J40"/>
    <mergeCell ref="B39:C39"/>
    <mergeCell ref="B54:C54"/>
    <mergeCell ref="D54:J54"/>
    <mergeCell ref="B55:C55"/>
    <mergeCell ref="D55:J55"/>
    <mergeCell ref="B56:C56"/>
    <mergeCell ref="D56:J56"/>
    <mergeCell ref="B59:C59"/>
    <mergeCell ref="D59:J59"/>
    <mergeCell ref="D60:J60"/>
    <mergeCell ref="B60:C60"/>
    <mergeCell ref="D61:J61"/>
    <mergeCell ref="B61:C61"/>
    <mergeCell ref="B62:C62"/>
    <mergeCell ref="D62:J62"/>
    <mergeCell ref="B140:F140"/>
    <mergeCell ref="G25:H25"/>
    <mergeCell ref="D51:J51"/>
    <mergeCell ref="A19:J19"/>
    <mergeCell ref="I20:J20"/>
    <mergeCell ref="G20:H20"/>
    <mergeCell ref="A20:F20"/>
    <mergeCell ref="G21:J21"/>
    <mergeCell ref="A21:F21"/>
    <mergeCell ref="I25:J25"/>
    <mergeCell ref="A25:F25"/>
    <mergeCell ref="B40:C40"/>
    <mergeCell ref="A39:A40"/>
    <mergeCell ref="A24:J24"/>
    <mergeCell ref="H26:J26"/>
    <mergeCell ref="E26:G26"/>
    <mergeCell ref="A26:D26"/>
    <mergeCell ref="G27:J27"/>
    <mergeCell ref="E27:F27"/>
    <mergeCell ref="A29:J29"/>
    <mergeCell ref="B42:C42"/>
    <mergeCell ref="B72:C72"/>
    <mergeCell ref="D42:J42"/>
    <mergeCell ref="C27:D27"/>
    <mergeCell ref="B63:C63"/>
    <mergeCell ref="B338:F338"/>
    <mergeCell ref="A380:G380"/>
    <mergeCell ref="A381:G381"/>
    <mergeCell ref="D72:J72"/>
    <mergeCell ref="A324:C324"/>
    <mergeCell ref="A325:C325"/>
    <mergeCell ref="D324:J324"/>
    <mergeCell ref="D325:J325"/>
    <mergeCell ref="B188:F188"/>
    <mergeCell ref="B139:F139"/>
    <mergeCell ref="A340:J340"/>
    <mergeCell ref="B347:F347"/>
    <mergeCell ref="B348:F348"/>
    <mergeCell ref="B349:F349"/>
    <mergeCell ref="B78:C78"/>
    <mergeCell ref="D94:J94"/>
    <mergeCell ref="B94:C94"/>
    <mergeCell ref="B83:C83"/>
    <mergeCell ref="D83:J83"/>
    <mergeCell ref="D84:J84"/>
    <mergeCell ref="B84:C84"/>
    <mergeCell ref="B85:C85"/>
    <mergeCell ref="D85:J85"/>
    <mergeCell ref="D45:J45"/>
    <mergeCell ref="B45:C45"/>
    <mergeCell ref="B50:C50"/>
    <mergeCell ref="D50:J50"/>
    <mergeCell ref="B46:C46"/>
    <mergeCell ref="B49:C49"/>
    <mergeCell ref="D46:J46"/>
    <mergeCell ref="D49:J49"/>
    <mergeCell ref="B51:C51"/>
    <mergeCell ref="B52:C52"/>
    <mergeCell ref="D52:J52"/>
    <mergeCell ref="B53:C53"/>
    <mergeCell ref="D53:J53"/>
    <mergeCell ref="B341:F341"/>
    <mergeCell ref="B342:F342"/>
    <mergeCell ref="B343:F343"/>
    <mergeCell ref="B345:F345"/>
    <mergeCell ref="B346:F346"/>
    <mergeCell ref="B344:F344"/>
    <mergeCell ref="D63:J63"/>
    <mergeCell ref="B64:C64"/>
    <mergeCell ref="D64:J64"/>
    <mergeCell ref="B65:C65"/>
    <mergeCell ref="D65:J65"/>
    <mergeCell ref="A80:J80"/>
    <mergeCell ref="B81:C81"/>
    <mergeCell ref="D81:J81"/>
    <mergeCell ref="B82:C82"/>
    <mergeCell ref="D82:J82"/>
    <mergeCell ref="B77:C77"/>
    <mergeCell ref="D77:J77"/>
    <mergeCell ref="A71:J71"/>
    <mergeCell ref="D78:J78"/>
    <mergeCell ref="A386:E386"/>
    <mergeCell ref="F386:J386"/>
    <mergeCell ref="A387:E387"/>
    <mergeCell ref="F387:J387"/>
    <mergeCell ref="A388:E388"/>
    <mergeCell ref="F388:J388"/>
    <mergeCell ref="A391:J391"/>
    <mergeCell ref="A392:J392"/>
    <mergeCell ref="B350:F350"/>
    <mergeCell ref="B351:F351"/>
    <mergeCell ref="A382:J382"/>
    <mergeCell ref="A384:J384"/>
    <mergeCell ref="A385:E385"/>
    <mergeCell ref="F385:J385"/>
    <mergeCell ref="A374:J374"/>
    <mergeCell ref="B375:F375"/>
    <mergeCell ref="B376:F376"/>
    <mergeCell ref="B377:F377"/>
    <mergeCell ref="B378:F378"/>
    <mergeCell ref="B366:F366"/>
    <mergeCell ref="A368:J368"/>
    <mergeCell ref="B370:F370"/>
    <mergeCell ref="B371:F371"/>
    <mergeCell ref="B372:F372"/>
    <mergeCell ref="A399:J399"/>
    <mergeCell ref="A407:E407"/>
    <mergeCell ref="F407:J407"/>
    <mergeCell ref="A408:E408"/>
    <mergeCell ref="F408:J408"/>
    <mergeCell ref="A409:E409"/>
    <mergeCell ref="F409:J409"/>
    <mergeCell ref="A396:J396"/>
    <mergeCell ref="A398:J398"/>
    <mergeCell ref="A2:J2"/>
    <mergeCell ref="A6:J6"/>
    <mergeCell ref="A8:J8"/>
    <mergeCell ref="A22:F22"/>
    <mergeCell ref="G22:J22"/>
    <mergeCell ref="A41:J41"/>
    <mergeCell ref="D43:J43"/>
    <mergeCell ref="B43:C43"/>
    <mergeCell ref="D44:J44"/>
    <mergeCell ref="B44:C44"/>
    <mergeCell ref="A30:J30"/>
    <mergeCell ref="A31:J31"/>
    <mergeCell ref="A33:J33"/>
    <mergeCell ref="A34:J34"/>
    <mergeCell ref="A35:J35"/>
    <mergeCell ref="A36:J36"/>
    <mergeCell ref="A11:J11"/>
    <mergeCell ref="A12:J12"/>
    <mergeCell ref="A14:J14"/>
    <mergeCell ref="A15:J15"/>
    <mergeCell ref="A16:C16"/>
    <mergeCell ref="D16:H16"/>
    <mergeCell ref="I16:J16"/>
    <mergeCell ref="A3:J5"/>
    <mergeCell ref="A7:J7"/>
    <mergeCell ref="A9:J9"/>
    <mergeCell ref="B113:C113"/>
    <mergeCell ref="D113:J113"/>
    <mergeCell ref="A137:A138"/>
    <mergeCell ref="B137:F138"/>
    <mergeCell ref="B107:C107"/>
    <mergeCell ref="D107:J107"/>
    <mergeCell ref="B108:C108"/>
    <mergeCell ref="D108:J108"/>
    <mergeCell ref="B109:C109"/>
    <mergeCell ref="D109:J109"/>
    <mergeCell ref="B110:C110"/>
    <mergeCell ref="D110:J110"/>
    <mergeCell ref="A132:J132"/>
    <mergeCell ref="A133:J133"/>
    <mergeCell ref="A134:J134"/>
    <mergeCell ref="B86:C86"/>
    <mergeCell ref="D86:J86"/>
    <mergeCell ref="B87:C87"/>
    <mergeCell ref="D87:J87"/>
    <mergeCell ref="A136:J136"/>
    <mergeCell ref="D106:J106"/>
    <mergeCell ref="B95:C95"/>
    <mergeCell ref="B73:C73"/>
    <mergeCell ref="D73:J73"/>
    <mergeCell ref="B74:C74"/>
    <mergeCell ref="D74:J74"/>
    <mergeCell ref="B76:C76"/>
    <mergeCell ref="D76:J76"/>
    <mergeCell ref="A123:J123"/>
    <mergeCell ref="B124:C124"/>
    <mergeCell ref="D124:J124"/>
    <mergeCell ref="B102:C102"/>
    <mergeCell ref="D102:J102"/>
    <mergeCell ref="B103:C103"/>
    <mergeCell ref="D103:J103"/>
    <mergeCell ref="B104:C104"/>
    <mergeCell ref="D104:J104"/>
    <mergeCell ref="D105:J105"/>
    <mergeCell ref="B90:C90"/>
    <mergeCell ref="D90:J90"/>
    <mergeCell ref="B91:C91"/>
    <mergeCell ref="D91:J91"/>
    <mergeCell ref="A115:J115"/>
    <mergeCell ref="D120:J120"/>
    <mergeCell ref="B119:C119"/>
    <mergeCell ref="D119:J119"/>
    <mergeCell ref="A135:J135"/>
    <mergeCell ref="B177:F177"/>
    <mergeCell ref="B125:C125"/>
    <mergeCell ref="D125:J125"/>
    <mergeCell ref="B284:F284"/>
    <mergeCell ref="B184:F184"/>
    <mergeCell ref="B287:F287"/>
    <mergeCell ref="D95:J95"/>
    <mergeCell ref="D96:J96"/>
    <mergeCell ref="B96:C96"/>
    <mergeCell ref="B97:C97"/>
    <mergeCell ref="D97:J97"/>
    <mergeCell ref="B98:C98"/>
    <mergeCell ref="D98:J98"/>
    <mergeCell ref="B99:C99"/>
    <mergeCell ref="D99:J99"/>
    <mergeCell ref="B106:C106"/>
    <mergeCell ref="B128:C128"/>
    <mergeCell ref="D128:J128"/>
    <mergeCell ref="B129:C129"/>
    <mergeCell ref="D129:J129"/>
    <mergeCell ref="B105:C105"/>
    <mergeCell ref="B122:C122"/>
    <mergeCell ref="B120:C120"/>
    <mergeCell ref="B456:F456"/>
    <mergeCell ref="B455:F455"/>
    <mergeCell ref="A438:J438"/>
    <mergeCell ref="B439:F439"/>
    <mergeCell ref="B440:F440"/>
    <mergeCell ref="B441:F441"/>
    <mergeCell ref="B442:F442"/>
    <mergeCell ref="B443:F443"/>
    <mergeCell ref="B444:F444"/>
    <mergeCell ref="B445:F445"/>
    <mergeCell ref="B451:F451"/>
    <mergeCell ref="B452:F452"/>
    <mergeCell ref="B453:F453"/>
    <mergeCell ref="B454:F454"/>
    <mergeCell ref="B446:F446"/>
    <mergeCell ref="B447:F447"/>
    <mergeCell ref="B448:F448"/>
    <mergeCell ref="B449:F449"/>
    <mergeCell ref="B450:F450"/>
    <mergeCell ref="B457:F457"/>
    <mergeCell ref="B458:F458"/>
    <mergeCell ref="B460:F460"/>
    <mergeCell ref="B461:F461"/>
    <mergeCell ref="B462:F462"/>
    <mergeCell ref="B463:F463"/>
    <mergeCell ref="B467:F467"/>
    <mergeCell ref="B468:F468"/>
    <mergeCell ref="B474:F474"/>
    <mergeCell ref="B459:F459"/>
    <mergeCell ref="A485:E485"/>
    <mergeCell ref="F485:J485"/>
    <mergeCell ref="A486:E486"/>
    <mergeCell ref="F486:J486"/>
    <mergeCell ref="A487:E487"/>
    <mergeCell ref="F487:J487"/>
    <mergeCell ref="B477:F477"/>
    <mergeCell ref="A479:H479"/>
    <mergeCell ref="A480:J480"/>
    <mergeCell ref="B121:C121"/>
    <mergeCell ref="D121:J121"/>
    <mergeCell ref="B118:C118"/>
    <mergeCell ref="D118:J118"/>
    <mergeCell ref="B117:C117"/>
    <mergeCell ref="D117:J117"/>
    <mergeCell ref="B116:C116"/>
    <mergeCell ref="D116:J116"/>
    <mergeCell ref="B92:C92"/>
    <mergeCell ref="D92:J92"/>
    <mergeCell ref="D93:J93"/>
    <mergeCell ref="B93:C93"/>
  </mergeCells>
  <hyperlinks>
    <hyperlink ref="G22" r:id="rId1"/>
  </hyperlinks>
  <pageMargins left="0.78740157480314965" right="0.74803149606299213" top="1.5748031496062993" bottom="0.78740157480314965" header="0.31496062992125984" footer="0.31496062992125984"/>
  <pageSetup paperSize="9" scale="80" orientation="portrait" verticalDpi="4294967293" r:id="rId2"/>
  <legacyDrawing r:id="rId3"/>
</worksheet>
</file>

<file path=xl/worksheets/sheet2.xml><?xml version="1.0" encoding="utf-8"?>
<worksheet xmlns="http://schemas.openxmlformats.org/spreadsheetml/2006/main" xmlns:r="http://schemas.openxmlformats.org/officeDocument/2006/relationships">
  <dimension ref="A3:K173"/>
  <sheetViews>
    <sheetView workbookViewId="0">
      <selection activeCell="C157" sqref="C157"/>
    </sheetView>
  </sheetViews>
  <sheetFormatPr defaultRowHeight="15"/>
  <cols>
    <col min="7" max="7" width="15.7109375" customWidth="1"/>
    <col min="9" max="9" width="12.140625" customWidth="1"/>
    <col min="10" max="10" width="11.140625" customWidth="1"/>
    <col min="11" max="11" width="18.85546875" customWidth="1"/>
  </cols>
  <sheetData>
    <row r="3" spans="1:11">
      <c r="B3" s="1551" t="s">
        <v>8</v>
      </c>
      <c r="C3" s="1552" t="s">
        <v>285</v>
      </c>
      <c r="D3" s="1552"/>
      <c r="E3" s="1552"/>
      <c r="F3" s="1552"/>
      <c r="G3" s="1552"/>
      <c r="H3" s="41" t="s">
        <v>15</v>
      </c>
      <c r="I3" s="42" t="s">
        <v>16</v>
      </c>
      <c r="J3" s="20" t="s">
        <v>17</v>
      </c>
      <c r="K3" s="61" t="s">
        <v>19</v>
      </c>
    </row>
    <row r="4" spans="1:11" ht="24">
      <c r="B4" s="1551"/>
      <c r="C4" s="1552"/>
      <c r="D4" s="1552"/>
      <c r="E4" s="1552"/>
      <c r="F4" s="1552"/>
      <c r="G4" s="1552"/>
      <c r="H4" s="43" t="s">
        <v>287</v>
      </c>
      <c r="I4" s="43" t="s">
        <v>288</v>
      </c>
      <c r="J4" s="21" t="s">
        <v>18</v>
      </c>
      <c r="K4" s="62" t="s">
        <v>20</v>
      </c>
    </row>
    <row r="5" spans="1:11">
      <c r="B5" s="63"/>
      <c r="C5" s="1553" t="s">
        <v>205</v>
      </c>
      <c r="D5" s="1554"/>
      <c r="E5" s="1554"/>
      <c r="F5" s="1554"/>
      <c r="G5" s="1555"/>
      <c r="H5" s="44"/>
      <c r="I5" s="45"/>
      <c r="J5" s="22"/>
      <c r="K5" s="64"/>
    </row>
    <row r="6" spans="1:11">
      <c r="B6" s="65">
        <v>1</v>
      </c>
      <c r="C6" s="1556" t="s">
        <v>36</v>
      </c>
      <c r="D6" s="1556"/>
      <c r="E6" s="1556"/>
      <c r="F6" s="1556"/>
      <c r="G6" s="1556"/>
      <c r="H6" s="23"/>
      <c r="I6" s="46"/>
      <c r="J6" s="24"/>
      <c r="K6" s="66">
        <f>SUM(K7:K7)</f>
        <v>3262.5880000000002</v>
      </c>
    </row>
    <row r="7" spans="1:11">
      <c r="A7">
        <v>70202</v>
      </c>
      <c r="B7" s="69" t="s">
        <v>37</v>
      </c>
      <c r="C7" s="1557" t="s">
        <v>40</v>
      </c>
      <c r="D7" s="1557"/>
      <c r="E7" s="1557"/>
      <c r="F7" s="1557"/>
      <c r="G7" s="1557"/>
      <c r="H7" s="7">
        <v>598.64</v>
      </c>
      <c r="I7" s="2" t="s">
        <v>41</v>
      </c>
      <c r="J7" s="116">
        <v>5.45</v>
      </c>
      <c r="K7" s="68">
        <f>SUM(H7*J7)</f>
        <v>3262.5880000000002</v>
      </c>
    </row>
    <row r="8" spans="1:11">
      <c r="B8" s="69"/>
      <c r="C8" s="1558"/>
      <c r="D8" s="1559"/>
      <c r="E8" s="1559"/>
      <c r="F8" s="1559"/>
      <c r="G8" s="1560"/>
      <c r="H8" s="7"/>
      <c r="I8" s="2"/>
      <c r="J8" s="12"/>
      <c r="K8" s="68"/>
    </row>
    <row r="9" spans="1:11">
      <c r="B9" s="65">
        <v>2</v>
      </c>
      <c r="C9" s="1556" t="s">
        <v>42</v>
      </c>
      <c r="D9" s="1556"/>
      <c r="E9" s="1556"/>
      <c r="F9" s="1556"/>
      <c r="G9" s="1556"/>
      <c r="H9" s="47"/>
      <c r="I9" s="46"/>
      <c r="J9" s="48"/>
      <c r="K9" s="70">
        <f>SUM(K10:K13)</f>
        <v>71968.861199999999</v>
      </c>
    </row>
    <row r="10" spans="1:11">
      <c r="A10">
        <v>100202</v>
      </c>
      <c r="B10" s="67" t="s">
        <v>43</v>
      </c>
      <c r="C10" s="1566" t="s">
        <v>44</v>
      </c>
      <c r="D10" s="1566"/>
      <c r="E10" s="1566"/>
      <c r="F10" s="1566"/>
      <c r="G10" s="1566"/>
      <c r="H10" s="9">
        <v>6306</v>
      </c>
      <c r="I10" s="2" t="s">
        <v>50</v>
      </c>
      <c r="J10" s="117">
        <v>5.8</v>
      </c>
      <c r="K10" s="71">
        <f>SUM(H10*J10)</f>
        <v>36574.799999999996</v>
      </c>
    </row>
    <row r="11" spans="1:11">
      <c r="A11">
        <v>110126</v>
      </c>
      <c r="B11" s="67" t="s">
        <v>45</v>
      </c>
      <c r="C11" s="1566" t="s">
        <v>46</v>
      </c>
      <c r="D11" s="1566"/>
      <c r="E11" s="1566"/>
      <c r="F11" s="1566"/>
      <c r="G11" s="1566"/>
      <c r="H11" s="7">
        <f>81.92+3.22</f>
        <v>85.14</v>
      </c>
      <c r="I11" s="2" t="s">
        <v>51</v>
      </c>
      <c r="J11" s="117">
        <v>310.38</v>
      </c>
      <c r="K11" s="71">
        <f>SUM(H11*J11)</f>
        <v>26425.753199999999</v>
      </c>
    </row>
    <row r="12" spans="1:11">
      <c r="A12">
        <v>111606</v>
      </c>
      <c r="B12" s="67" t="s">
        <v>47</v>
      </c>
      <c r="C12" s="1566" t="s">
        <v>321</v>
      </c>
      <c r="D12" s="1566"/>
      <c r="E12" s="1566"/>
      <c r="F12" s="1566"/>
      <c r="G12" s="1566"/>
      <c r="H12" s="7">
        <v>85.14</v>
      </c>
      <c r="I12" s="2" t="s">
        <v>51</v>
      </c>
      <c r="J12" s="117">
        <v>60.2</v>
      </c>
      <c r="K12" s="71">
        <f>SUM(H12*J12)</f>
        <v>5125.4279999999999</v>
      </c>
    </row>
    <row r="13" spans="1:11">
      <c r="A13">
        <v>120102</v>
      </c>
      <c r="B13" s="67" t="s">
        <v>48</v>
      </c>
      <c r="C13" s="1567" t="s">
        <v>49</v>
      </c>
      <c r="D13" s="1567"/>
      <c r="E13" s="1567"/>
      <c r="F13" s="1567"/>
      <c r="G13" s="1567"/>
      <c r="H13" s="7">
        <f>32*3</f>
        <v>96</v>
      </c>
      <c r="I13" s="2" t="s">
        <v>52</v>
      </c>
      <c r="J13" s="117">
        <v>40.03</v>
      </c>
      <c r="K13" s="71">
        <f>SUM(H13*J13)</f>
        <v>3842.88</v>
      </c>
    </row>
    <row r="14" spans="1:11">
      <c r="B14" s="67"/>
      <c r="C14" s="158"/>
      <c r="D14" s="159"/>
      <c r="E14" s="159"/>
      <c r="F14" s="159"/>
      <c r="G14" s="160"/>
      <c r="H14" s="7"/>
      <c r="I14" s="2"/>
      <c r="J14" s="13"/>
      <c r="K14" s="71"/>
    </row>
    <row r="15" spans="1:11">
      <c r="B15" s="65">
        <v>3</v>
      </c>
      <c r="C15" s="1568" t="s">
        <v>53</v>
      </c>
      <c r="D15" s="1569"/>
      <c r="E15" s="1569"/>
      <c r="F15" s="1569"/>
      <c r="G15" s="1570"/>
      <c r="H15" s="47"/>
      <c r="I15" s="48"/>
      <c r="J15" s="48"/>
      <c r="K15" s="70">
        <f>SUM(K16)</f>
        <v>3575.4623999999994</v>
      </c>
    </row>
    <row r="16" spans="1:11">
      <c r="A16">
        <v>141122</v>
      </c>
      <c r="B16" s="72" t="s">
        <v>54</v>
      </c>
      <c r="C16" s="1561" t="s">
        <v>313</v>
      </c>
      <c r="D16" s="1562"/>
      <c r="E16" s="1562"/>
      <c r="F16" s="1562"/>
      <c r="G16" s="1563"/>
      <c r="H16" s="49">
        <f>4+64.13</f>
        <v>68.13</v>
      </c>
      <c r="I16" s="2" t="s">
        <v>38</v>
      </c>
      <c r="J16" s="118">
        <v>52.48</v>
      </c>
      <c r="K16" s="73">
        <f>SUM(H16*J16)</f>
        <v>3575.4623999999994</v>
      </c>
    </row>
    <row r="17" spans="1:11">
      <c r="B17" s="74"/>
      <c r="C17" s="1564"/>
      <c r="D17" s="1564"/>
      <c r="E17" s="1564"/>
      <c r="F17" s="1564"/>
      <c r="G17" s="1564"/>
      <c r="H17" s="41"/>
      <c r="I17" s="50"/>
      <c r="J17" s="50"/>
      <c r="K17" s="75"/>
    </row>
    <row r="18" spans="1:11">
      <c r="B18" s="65">
        <v>4</v>
      </c>
      <c r="C18" s="1556" t="s">
        <v>63</v>
      </c>
      <c r="D18" s="1556"/>
      <c r="E18" s="1556"/>
      <c r="F18" s="1556"/>
      <c r="G18" s="1556"/>
      <c r="H18" s="52"/>
      <c r="I18" s="48"/>
      <c r="J18" s="48"/>
      <c r="K18" s="70">
        <f>SUM(K19:K23)</f>
        <v>44515.534599999999</v>
      </c>
    </row>
    <row r="19" spans="1:11">
      <c r="A19">
        <v>100202</v>
      </c>
      <c r="B19" s="36" t="s">
        <v>58</v>
      </c>
      <c r="C19" s="1565" t="s">
        <v>44</v>
      </c>
      <c r="D19" s="1565"/>
      <c r="E19" s="1565"/>
      <c r="F19" s="1565"/>
      <c r="G19" s="1565"/>
      <c r="H19" s="9">
        <f>80*H21</f>
        <v>957.6</v>
      </c>
      <c r="I19" s="2" t="s">
        <v>50</v>
      </c>
      <c r="J19" s="117">
        <v>5.8</v>
      </c>
      <c r="K19" s="76">
        <f>SUM(H19*J19)</f>
        <v>5554.08</v>
      </c>
    </row>
    <row r="20" spans="1:11">
      <c r="A20">
        <v>90102</v>
      </c>
      <c r="B20" s="36" t="s">
        <v>59</v>
      </c>
      <c r="C20" s="1565" t="s">
        <v>56</v>
      </c>
      <c r="D20" s="1565"/>
      <c r="E20" s="1565"/>
      <c r="F20" s="1565"/>
      <c r="G20" s="1565"/>
      <c r="H20" s="9">
        <v>77.599999999999994</v>
      </c>
      <c r="I20" s="2" t="s">
        <v>38</v>
      </c>
      <c r="J20" s="117">
        <v>50.32</v>
      </c>
      <c r="K20" s="76">
        <f t="shared" ref="K20:K23" si="0">SUM(H20*J20)</f>
        <v>3904.8319999999999</v>
      </c>
    </row>
    <row r="21" spans="1:11">
      <c r="A21">
        <v>110126</v>
      </c>
      <c r="B21" s="36" t="s">
        <v>60</v>
      </c>
      <c r="C21" s="1565" t="s">
        <v>46</v>
      </c>
      <c r="D21" s="1565"/>
      <c r="E21" s="1565"/>
      <c r="F21" s="1565"/>
      <c r="G21" s="1565"/>
      <c r="H21" s="9">
        <v>11.97</v>
      </c>
      <c r="I21" s="2" t="s">
        <v>51</v>
      </c>
      <c r="J21" s="117">
        <v>310.38</v>
      </c>
      <c r="K21" s="76">
        <f t="shared" si="0"/>
        <v>3715.2486000000004</v>
      </c>
    </row>
    <row r="22" spans="1:11">
      <c r="A22">
        <v>111606</v>
      </c>
      <c r="B22" s="36" t="s">
        <v>61</v>
      </c>
      <c r="C22" s="1565" t="s">
        <v>321</v>
      </c>
      <c r="D22" s="1565"/>
      <c r="E22" s="1565"/>
      <c r="F22" s="1565"/>
      <c r="G22" s="1565"/>
      <c r="H22" s="9">
        <v>11.97</v>
      </c>
      <c r="I22" s="2" t="s">
        <v>51</v>
      </c>
      <c r="J22" s="117">
        <v>60.2</v>
      </c>
      <c r="K22" s="76">
        <f t="shared" si="0"/>
        <v>720.59400000000005</v>
      </c>
    </row>
    <row r="23" spans="1:11">
      <c r="A23">
        <v>240422</v>
      </c>
      <c r="B23" s="166" t="s">
        <v>62</v>
      </c>
      <c r="C23" s="1567" t="s">
        <v>57</v>
      </c>
      <c r="D23" s="1567"/>
      <c r="E23" s="1567"/>
      <c r="F23" s="1567"/>
      <c r="G23" s="1567"/>
      <c r="H23" s="9">
        <v>38</v>
      </c>
      <c r="I23" s="2" t="s">
        <v>64</v>
      </c>
      <c r="J23" s="117">
        <v>805.81</v>
      </c>
      <c r="K23" s="76">
        <f t="shared" si="0"/>
        <v>30620.78</v>
      </c>
    </row>
    <row r="24" spans="1:11">
      <c r="B24" s="135">
        <v>5</v>
      </c>
      <c r="C24" s="1578" t="s">
        <v>78</v>
      </c>
      <c r="D24" s="1579"/>
      <c r="E24" s="1579"/>
      <c r="F24" s="1579"/>
      <c r="G24" s="1580"/>
      <c r="H24" s="132"/>
      <c r="I24" s="133"/>
      <c r="J24" s="133"/>
      <c r="K24" s="134">
        <f>SUM(K25:K33)</f>
        <v>58994.673499999997</v>
      </c>
    </row>
    <row r="25" spans="1:11">
      <c r="A25">
        <v>170202</v>
      </c>
      <c r="B25" s="67" t="s">
        <v>71</v>
      </c>
      <c r="C25" s="1557" t="s">
        <v>65</v>
      </c>
      <c r="D25" s="1557"/>
      <c r="E25" s="1557"/>
      <c r="F25" s="1557"/>
      <c r="G25" s="1557"/>
      <c r="H25" s="5">
        <v>467</v>
      </c>
      <c r="I25" s="2" t="s">
        <v>38</v>
      </c>
      <c r="J25" s="119">
        <v>4.26</v>
      </c>
      <c r="K25" s="81">
        <f>SUM(H25*J25)</f>
        <v>1989.4199999999998</v>
      </c>
    </row>
    <row r="26" spans="1:11">
      <c r="A26">
        <v>170212</v>
      </c>
      <c r="B26" s="67" t="s">
        <v>72</v>
      </c>
      <c r="C26" s="1557" t="s">
        <v>66</v>
      </c>
      <c r="D26" s="1557"/>
      <c r="E26" s="1557"/>
      <c r="F26" s="1557"/>
      <c r="G26" s="1557"/>
      <c r="H26" s="5">
        <v>467</v>
      </c>
      <c r="I26" s="2" t="s">
        <v>38</v>
      </c>
      <c r="J26" s="119">
        <v>12.47</v>
      </c>
      <c r="K26" s="81">
        <f t="shared" ref="K26:K33" si="1">SUM(H26*J26)</f>
        <v>5823.4900000000007</v>
      </c>
    </row>
    <row r="27" spans="1:11" ht="27.75" customHeight="1" thickBot="1">
      <c r="A27">
        <v>321706</v>
      </c>
      <c r="B27" s="94" t="s">
        <v>73</v>
      </c>
      <c r="C27" s="1581" t="s">
        <v>320</v>
      </c>
      <c r="D27" s="1582"/>
      <c r="E27" s="1582"/>
      <c r="F27" s="1582"/>
      <c r="G27" s="1583"/>
      <c r="H27" s="58">
        <v>467</v>
      </c>
      <c r="I27" s="59" t="s">
        <v>38</v>
      </c>
      <c r="J27" s="138">
        <v>22.57</v>
      </c>
      <c r="K27" s="98">
        <f t="shared" si="1"/>
        <v>10540.19</v>
      </c>
    </row>
    <row r="28" spans="1:11" ht="15.75" thickTop="1">
      <c r="B28" s="37"/>
      <c r="C28" s="40"/>
      <c r="D28" s="40"/>
      <c r="E28" s="40"/>
      <c r="F28" s="40"/>
      <c r="G28" s="40"/>
      <c r="H28" s="96"/>
      <c r="I28" s="38"/>
      <c r="J28" s="137"/>
      <c r="K28" s="97"/>
    </row>
    <row r="29" spans="1:11" ht="15.75" thickBot="1">
      <c r="B29" s="56"/>
      <c r="C29" s="39"/>
      <c r="D29" s="39"/>
      <c r="E29" s="39"/>
      <c r="F29" s="39"/>
      <c r="G29" s="39"/>
      <c r="H29" s="104"/>
      <c r="I29" s="60"/>
      <c r="J29" s="139"/>
      <c r="K29" s="105"/>
    </row>
    <row r="30" spans="1:11" ht="31.5" customHeight="1" thickTop="1">
      <c r="A30">
        <v>181104</v>
      </c>
      <c r="B30" s="93" t="s">
        <v>74</v>
      </c>
      <c r="C30" s="1571" t="s">
        <v>67</v>
      </c>
      <c r="D30" s="1571"/>
      <c r="E30" s="1571"/>
      <c r="F30" s="1571"/>
      <c r="G30" s="1571"/>
      <c r="H30" s="5">
        <v>467</v>
      </c>
      <c r="I30" s="1" t="s">
        <v>38</v>
      </c>
      <c r="J30" s="136">
        <v>36.909999999999997</v>
      </c>
      <c r="K30" s="106">
        <f t="shared" si="1"/>
        <v>17236.969999999998</v>
      </c>
    </row>
    <row r="31" spans="1:11" ht="18.75" customHeight="1">
      <c r="A31">
        <v>170507</v>
      </c>
      <c r="B31" s="72" t="s">
        <v>75</v>
      </c>
      <c r="C31" s="1567" t="s">
        <v>68</v>
      </c>
      <c r="D31" s="1567"/>
      <c r="E31" s="1567"/>
      <c r="F31" s="1567"/>
      <c r="G31" s="1567"/>
      <c r="H31" s="5">
        <v>12.23</v>
      </c>
      <c r="I31" s="2" t="s">
        <v>51</v>
      </c>
      <c r="J31" s="119">
        <v>576.15</v>
      </c>
      <c r="K31" s="81">
        <f>SUM(H31*J31)</f>
        <v>7046.3145000000004</v>
      </c>
    </row>
    <row r="32" spans="1:11">
      <c r="B32" s="72" t="s">
        <v>76</v>
      </c>
      <c r="C32" s="1561" t="s">
        <v>69</v>
      </c>
      <c r="D32" s="1562"/>
      <c r="E32" s="1562"/>
      <c r="F32" s="1562"/>
      <c r="G32" s="1563"/>
      <c r="H32" s="5">
        <v>244.78</v>
      </c>
      <c r="I32" s="2" t="s">
        <v>38</v>
      </c>
      <c r="J32" s="120">
        <v>53.55</v>
      </c>
      <c r="K32" s="81">
        <f t="shared" si="1"/>
        <v>13107.968999999999</v>
      </c>
    </row>
    <row r="33" spans="1:11">
      <c r="A33">
        <v>181123</v>
      </c>
      <c r="B33" s="72" t="s">
        <v>77</v>
      </c>
      <c r="C33" s="1567" t="s">
        <v>70</v>
      </c>
      <c r="D33" s="1567"/>
      <c r="E33" s="1567"/>
      <c r="F33" s="1567"/>
      <c r="G33" s="1567"/>
      <c r="H33" s="5">
        <v>467</v>
      </c>
      <c r="I33" s="2" t="s">
        <v>64</v>
      </c>
      <c r="J33" s="120">
        <v>6.96</v>
      </c>
      <c r="K33" s="81">
        <f t="shared" si="1"/>
        <v>3250.32</v>
      </c>
    </row>
    <row r="34" spans="1:11">
      <c r="B34" s="36"/>
      <c r="C34" s="140"/>
      <c r="D34" s="169"/>
      <c r="E34" s="169"/>
      <c r="F34" s="169"/>
      <c r="G34" s="141"/>
      <c r="H34" s="170"/>
      <c r="I34" s="2"/>
      <c r="J34" s="19"/>
      <c r="K34" s="142"/>
    </row>
    <row r="35" spans="1:11">
      <c r="B35" s="143">
        <v>6</v>
      </c>
      <c r="C35" s="1572" t="s">
        <v>82</v>
      </c>
      <c r="D35" s="1573"/>
      <c r="E35" s="1573"/>
      <c r="F35" s="1573"/>
      <c r="G35" s="1574"/>
      <c r="H35" s="46"/>
      <c r="I35" s="48"/>
      <c r="J35" s="24"/>
      <c r="K35" s="128">
        <f>SUM(K36)</f>
        <v>12000</v>
      </c>
    </row>
    <row r="36" spans="1:11">
      <c r="B36" s="72" t="s">
        <v>81</v>
      </c>
      <c r="C36" s="1575" t="s">
        <v>79</v>
      </c>
      <c r="D36" s="1576"/>
      <c r="E36" s="1576"/>
      <c r="F36" s="1576"/>
      <c r="G36" s="1577"/>
      <c r="H36" s="14">
        <v>1</v>
      </c>
      <c r="I36" s="2" t="s">
        <v>80</v>
      </c>
      <c r="J36" s="15">
        <v>12000</v>
      </c>
      <c r="K36" s="81">
        <v>12000</v>
      </c>
    </row>
    <row r="37" spans="1:11">
      <c r="B37" s="36"/>
      <c r="C37" s="140"/>
      <c r="D37" s="169"/>
      <c r="E37" s="169"/>
      <c r="F37" s="169"/>
      <c r="G37" s="141"/>
      <c r="H37" s="170"/>
      <c r="I37" s="2"/>
      <c r="J37" s="19"/>
      <c r="K37" s="142"/>
    </row>
    <row r="38" spans="1:11">
      <c r="B38" s="83"/>
      <c r="C38" s="25"/>
      <c r="D38" s="25"/>
      <c r="E38" s="25"/>
      <c r="F38" s="25"/>
      <c r="G38" s="25"/>
      <c r="H38" s="53"/>
      <c r="I38" s="54" t="s">
        <v>286</v>
      </c>
      <c r="J38" s="26"/>
      <c r="K38" s="84">
        <f>K35+K24+K18+K15+K9+K6</f>
        <v>194317.11969999998</v>
      </c>
    </row>
    <row r="39" spans="1:11">
      <c r="B39" s="86"/>
      <c r="C39" s="164"/>
      <c r="D39" s="164"/>
      <c r="E39" s="164"/>
      <c r="F39" s="164"/>
      <c r="G39" s="164"/>
      <c r="H39" s="55"/>
      <c r="I39" s="10"/>
      <c r="J39" s="27"/>
      <c r="K39" s="85"/>
    </row>
    <row r="40" spans="1:11">
      <c r="B40" s="87"/>
      <c r="C40" s="1553" t="s">
        <v>311</v>
      </c>
      <c r="D40" s="1554"/>
      <c r="E40" s="1554"/>
      <c r="F40" s="1554"/>
      <c r="G40" s="1555"/>
      <c r="H40" s="52"/>
      <c r="I40" s="48"/>
      <c r="J40" s="24"/>
      <c r="K40" s="88"/>
    </row>
    <row r="41" spans="1:11">
      <c r="B41" s="89">
        <v>1</v>
      </c>
      <c r="C41" s="1584" t="s">
        <v>36</v>
      </c>
      <c r="D41" s="1585"/>
      <c r="E41" s="1585"/>
      <c r="F41" s="1585"/>
      <c r="G41" s="1586"/>
      <c r="H41" s="52"/>
      <c r="I41" s="48"/>
      <c r="J41" s="24"/>
      <c r="K41" s="90">
        <f>SUM(K42)</f>
        <v>215.8083</v>
      </c>
    </row>
    <row r="42" spans="1:11">
      <c r="A42">
        <v>21002</v>
      </c>
      <c r="B42" s="72" t="s">
        <v>37</v>
      </c>
      <c r="C42" s="1561" t="s">
        <v>83</v>
      </c>
      <c r="D42" s="1562"/>
      <c r="E42" s="1562"/>
      <c r="F42" s="1562"/>
      <c r="G42" s="1563"/>
      <c r="H42" s="4">
        <v>28.89</v>
      </c>
      <c r="I42" s="1" t="s">
        <v>38</v>
      </c>
      <c r="J42" s="121">
        <v>7.47</v>
      </c>
      <c r="K42" s="91">
        <f>SUM(H42*J42)</f>
        <v>215.8083</v>
      </c>
    </row>
    <row r="43" spans="1:11">
      <c r="B43" s="114"/>
      <c r="C43" s="155"/>
      <c r="D43" s="156"/>
      <c r="E43" s="156"/>
      <c r="F43" s="156"/>
      <c r="G43" s="157"/>
      <c r="H43" s="4"/>
      <c r="I43" s="1"/>
      <c r="J43" s="8"/>
      <c r="K43" s="81"/>
    </row>
    <row r="44" spans="1:11">
      <c r="B44" s="89">
        <v>2</v>
      </c>
      <c r="C44" s="1584" t="s">
        <v>91</v>
      </c>
      <c r="D44" s="1585"/>
      <c r="E44" s="1585"/>
      <c r="F44" s="1585"/>
      <c r="G44" s="1586"/>
      <c r="H44" s="29"/>
      <c r="I44" s="30"/>
      <c r="J44" s="31"/>
      <c r="K44" s="90">
        <f>SUM(K45:K50)</f>
        <v>2849.8124399999997</v>
      </c>
    </row>
    <row r="45" spans="1:11">
      <c r="A45">
        <v>60202</v>
      </c>
      <c r="B45" s="72" t="s">
        <v>84</v>
      </c>
      <c r="C45" s="1575" t="s">
        <v>85</v>
      </c>
      <c r="D45" s="1576"/>
      <c r="E45" s="1576"/>
      <c r="F45" s="1576"/>
      <c r="G45" s="1577"/>
      <c r="H45" s="5">
        <v>2.08</v>
      </c>
      <c r="I45" s="1" t="s">
        <v>51</v>
      </c>
      <c r="J45" s="122">
        <v>35.880000000000003</v>
      </c>
      <c r="K45" s="92">
        <f>SUM(H45*J45)</f>
        <v>74.630400000000009</v>
      </c>
    </row>
    <row r="46" spans="1:11">
      <c r="A46">
        <v>120102</v>
      </c>
      <c r="B46" s="72" t="s">
        <v>43</v>
      </c>
      <c r="C46" s="1587" t="s">
        <v>49</v>
      </c>
      <c r="D46" s="1588"/>
      <c r="E46" s="1588"/>
      <c r="F46" s="1588"/>
      <c r="G46" s="1589"/>
      <c r="H46" s="6">
        <v>27</v>
      </c>
      <c r="I46" s="1" t="s">
        <v>52</v>
      </c>
      <c r="J46" s="122">
        <v>40.03</v>
      </c>
      <c r="K46" s="92">
        <f t="shared" ref="K46:K50" si="2">SUM(H46*J46)</f>
        <v>1080.81</v>
      </c>
    </row>
    <row r="47" spans="1:11">
      <c r="A47">
        <v>111804</v>
      </c>
      <c r="B47" s="72" t="s">
        <v>240</v>
      </c>
      <c r="C47" s="161" t="s">
        <v>86</v>
      </c>
      <c r="D47" s="167"/>
      <c r="E47" s="167"/>
      <c r="F47" s="167"/>
      <c r="G47" s="168"/>
      <c r="H47" s="5">
        <v>0.156</v>
      </c>
      <c r="I47" s="1" t="s">
        <v>92</v>
      </c>
      <c r="J47" s="123">
        <v>97.79</v>
      </c>
      <c r="K47" s="92">
        <f t="shared" si="2"/>
        <v>15.255240000000001</v>
      </c>
    </row>
    <row r="48" spans="1:11">
      <c r="A48">
        <v>100104</v>
      </c>
      <c r="B48" s="72" t="s">
        <v>47</v>
      </c>
      <c r="C48" s="162" t="s">
        <v>87</v>
      </c>
      <c r="D48" s="167"/>
      <c r="E48" s="167"/>
      <c r="F48" s="167"/>
      <c r="G48" s="168"/>
      <c r="H48" s="5">
        <f>90*H49</f>
        <v>172.79999999999998</v>
      </c>
      <c r="I48" s="2" t="s">
        <v>50</v>
      </c>
      <c r="J48" s="124">
        <v>5.42</v>
      </c>
      <c r="K48" s="92">
        <f t="shared" si="2"/>
        <v>936.57599999999991</v>
      </c>
    </row>
    <row r="49" spans="1:11">
      <c r="A49">
        <v>110110</v>
      </c>
      <c r="B49" s="72" t="s">
        <v>48</v>
      </c>
      <c r="C49" s="162" t="s">
        <v>89</v>
      </c>
      <c r="D49" s="167"/>
      <c r="E49" s="167"/>
      <c r="F49" s="167"/>
      <c r="G49" s="168"/>
      <c r="H49" s="5">
        <v>1.92</v>
      </c>
      <c r="I49" s="2" t="s">
        <v>51</v>
      </c>
      <c r="J49" s="122">
        <v>286.02</v>
      </c>
      <c r="K49" s="92">
        <f t="shared" si="2"/>
        <v>549.15839999999992</v>
      </c>
    </row>
    <row r="50" spans="1:11">
      <c r="A50">
        <v>111604</v>
      </c>
      <c r="B50" s="72" t="s">
        <v>88</v>
      </c>
      <c r="C50" s="162" t="s">
        <v>90</v>
      </c>
      <c r="D50" s="167"/>
      <c r="E50" s="167"/>
      <c r="F50" s="167"/>
      <c r="G50" s="168"/>
      <c r="H50" s="5">
        <f>H49</f>
        <v>1.92</v>
      </c>
      <c r="I50" s="1" t="s">
        <v>51</v>
      </c>
      <c r="J50" s="124">
        <v>100.72</v>
      </c>
      <c r="K50" s="92">
        <f t="shared" si="2"/>
        <v>193.38239999999999</v>
      </c>
    </row>
    <row r="51" spans="1:11">
      <c r="B51" s="166"/>
      <c r="C51" s="163"/>
      <c r="D51" s="164"/>
      <c r="E51" s="164"/>
      <c r="F51" s="164"/>
      <c r="G51" s="165"/>
      <c r="H51" s="51"/>
      <c r="I51" s="2"/>
      <c r="J51" s="2"/>
      <c r="K51" s="82"/>
    </row>
    <row r="52" spans="1:11">
      <c r="B52" s="89">
        <v>3</v>
      </c>
      <c r="C52" s="1584" t="s">
        <v>315</v>
      </c>
      <c r="D52" s="1585"/>
      <c r="E52" s="1585"/>
      <c r="F52" s="1585"/>
      <c r="G52" s="1586"/>
      <c r="H52" s="52"/>
      <c r="I52" s="48"/>
      <c r="J52" s="48"/>
      <c r="K52" s="70">
        <f>SUM(K53:K54)</f>
        <v>1321.5020000000002</v>
      </c>
    </row>
    <row r="53" spans="1:11">
      <c r="A53">
        <v>540101</v>
      </c>
      <c r="B53" s="72" t="s">
        <v>54</v>
      </c>
      <c r="C53" s="1567" t="s">
        <v>93</v>
      </c>
      <c r="D53" s="1567"/>
      <c r="E53" s="1567"/>
      <c r="F53" s="1567"/>
      <c r="G53" s="1567"/>
      <c r="H53" s="5">
        <v>48.65</v>
      </c>
      <c r="I53" s="2" t="s">
        <v>96</v>
      </c>
      <c r="J53" s="124">
        <v>1.62</v>
      </c>
      <c r="K53" s="81">
        <f>SUM(H53*J53)</f>
        <v>78.813000000000002</v>
      </c>
    </row>
    <row r="54" spans="1:11">
      <c r="A54">
        <v>170502</v>
      </c>
      <c r="B54" s="72" t="s">
        <v>95</v>
      </c>
      <c r="C54" s="1561" t="s">
        <v>94</v>
      </c>
      <c r="D54" s="1562"/>
      <c r="E54" s="1562"/>
      <c r="F54" s="1562"/>
      <c r="G54" s="1563"/>
      <c r="H54" s="5">
        <v>2.4500000000000002</v>
      </c>
      <c r="I54" s="2" t="s">
        <v>51</v>
      </c>
      <c r="J54" s="124">
        <v>507.22</v>
      </c>
      <c r="K54" s="81">
        <f t="shared" ref="K54" si="3">SUM(H54*J54)</f>
        <v>1242.6890000000001</v>
      </c>
    </row>
    <row r="55" spans="1:11">
      <c r="B55" s="166"/>
      <c r="C55" s="163"/>
      <c r="D55" s="164"/>
      <c r="E55" s="164"/>
      <c r="F55" s="164"/>
      <c r="G55" s="165"/>
      <c r="H55" s="51"/>
      <c r="I55" s="2"/>
      <c r="J55" s="2"/>
      <c r="K55" s="82"/>
    </row>
    <row r="56" spans="1:11">
      <c r="B56" s="89">
        <v>4</v>
      </c>
      <c r="C56" s="1572" t="s">
        <v>98</v>
      </c>
      <c r="D56" s="1573"/>
      <c r="E56" s="1573"/>
      <c r="F56" s="1573"/>
      <c r="G56" s="1574"/>
      <c r="H56" s="52"/>
      <c r="I56" s="48"/>
      <c r="J56" s="48"/>
      <c r="K56" s="70">
        <f>SUM(K57:K59)</f>
        <v>6639.7460000000001</v>
      </c>
    </row>
    <row r="57" spans="1:11">
      <c r="A57">
        <v>141122</v>
      </c>
      <c r="B57" s="93" t="s">
        <v>58</v>
      </c>
      <c r="C57" s="1561" t="s">
        <v>55</v>
      </c>
      <c r="D57" s="1562"/>
      <c r="E57" s="1562"/>
      <c r="F57" s="1562"/>
      <c r="G57" s="1563"/>
      <c r="H57" s="5">
        <v>69</v>
      </c>
      <c r="I57" s="2" t="s">
        <v>38</v>
      </c>
      <c r="J57" s="122">
        <v>52.48</v>
      </c>
      <c r="K57" s="81">
        <f>SUM(H57*J57)</f>
        <v>3621.12</v>
      </c>
    </row>
    <row r="58" spans="1:11">
      <c r="A58">
        <v>142001</v>
      </c>
      <c r="B58" s="93" t="s">
        <v>59</v>
      </c>
      <c r="C58" s="1561" t="s">
        <v>99</v>
      </c>
      <c r="D58" s="1562"/>
      <c r="E58" s="1562"/>
      <c r="F58" s="1562"/>
      <c r="G58" s="1563"/>
      <c r="H58" s="5">
        <v>2.2599999999999998</v>
      </c>
      <c r="I58" s="2" t="s">
        <v>51</v>
      </c>
      <c r="J58" s="124">
        <v>993.9</v>
      </c>
      <c r="K58" s="81">
        <f t="shared" ref="K58:K59" si="4">SUM(H58*J58)</f>
        <v>2246.2139999999999</v>
      </c>
    </row>
    <row r="59" spans="1:11">
      <c r="A59">
        <v>90103</v>
      </c>
      <c r="B59" s="93" t="s">
        <v>60</v>
      </c>
      <c r="C59" s="1561" t="s">
        <v>316</v>
      </c>
      <c r="D59" s="1562"/>
      <c r="E59" s="1562"/>
      <c r="F59" s="1562"/>
      <c r="G59" s="1563"/>
      <c r="H59" s="5">
        <v>15.35</v>
      </c>
      <c r="I59" s="2" t="s">
        <v>38</v>
      </c>
      <c r="J59" s="124">
        <v>50.32</v>
      </c>
      <c r="K59" s="81">
        <f t="shared" si="4"/>
        <v>772.41200000000003</v>
      </c>
    </row>
    <row r="60" spans="1:11">
      <c r="B60" s="166"/>
      <c r="C60" s="163"/>
      <c r="D60" s="164"/>
      <c r="E60" s="164"/>
      <c r="F60" s="164"/>
      <c r="G60" s="165"/>
      <c r="H60" s="51"/>
      <c r="I60" s="2"/>
      <c r="J60" s="2"/>
      <c r="K60" s="82"/>
    </row>
    <row r="61" spans="1:11">
      <c r="B61" s="102">
        <v>5</v>
      </c>
      <c r="C61" s="1572" t="s">
        <v>100</v>
      </c>
      <c r="D61" s="1573"/>
      <c r="E61" s="1573"/>
      <c r="F61" s="1573"/>
      <c r="G61" s="1574"/>
      <c r="H61" s="52"/>
      <c r="I61" s="48"/>
      <c r="J61" s="48"/>
      <c r="K61" s="70">
        <f>SUM(K62)</f>
        <v>2217.8852999999999</v>
      </c>
    </row>
    <row r="62" spans="1:11">
      <c r="A62">
        <v>130102</v>
      </c>
      <c r="B62" s="72" t="s">
        <v>71</v>
      </c>
      <c r="C62" s="1575" t="s">
        <v>101</v>
      </c>
      <c r="D62" s="1576"/>
      <c r="E62" s="1576"/>
      <c r="F62" s="1576"/>
      <c r="G62" s="1577"/>
      <c r="H62" s="7">
        <v>28.89</v>
      </c>
      <c r="I62" s="2" t="s">
        <v>38</v>
      </c>
      <c r="J62" s="122">
        <v>76.77</v>
      </c>
      <c r="K62" s="101">
        <f>SUM(H62*J62)</f>
        <v>2217.8852999999999</v>
      </c>
    </row>
    <row r="63" spans="1:11">
      <c r="B63" s="100"/>
      <c r="C63" s="77"/>
      <c r="D63" s="78"/>
      <c r="E63" s="78"/>
      <c r="F63" s="78"/>
      <c r="G63" s="79"/>
      <c r="H63" s="80"/>
      <c r="I63" s="1"/>
      <c r="J63" s="1"/>
      <c r="K63" s="99"/>
    </row>
    <row r="64" spans="1:11">
      <c r="B64" s="89">
        <v>6</v>
      </c>
      <c r="C64" s="1584" t="s">
        <v>102</v>
      </c>
      <c r="D64" s="1585"/>
      <c r="E64" s="1585"/>
      <c r="F64" s="1585"/>
      <c r="G64" s="1586"/>
      <c r="H64" s="52"/>
      <c r="I64" s="48"/>
      <c r="J64" s="48"/>
      <c r="K64" s="70">
        <f>SUM(K65:K67)</f>
        <v>5002.4765999999991</v>
      </c>
    </row>
    <row r="65" spans="1:11">
      <c r="A65">
        <v>150101</v>
      </c>
      <c r="B65" s="72" t="s">
        <v>81</v>
      </c>
      <c r="C65" s="161" t="s">
        <v>103</v>
      </c>
      <c r="D65" s="164"/>
      <c r="E65" s="164"/>
      <c r="F65" s="164"/>
      <c r="G65" s="165"/>
      <c r="H65" s="9">
        <v>43.23</v>
      </c>
      <c r="I65" s="2" t="s">
        <v>38</v>
      </c>
      <c r="J65" s="3">
        <v>77.78</v>
      </c>
      <c r="K65" s="81">
        <f>SUM(H65*J65)</f>
        <v>3362.4294</v>
      </c>
    </row>
    <row r="66" spans="1:11">
      <c r="A66">
        <v>160203</v>
      </c>
      <c r="B66" s="93" t="s">
        <v>104</v>
      </c>
      <c r="C66" s="162" t="s">
        <v>105</v>
      </c>
      <c r="D66" s="78"/>
      <c r="E66" s="78"/>
      <c r="F66" s="78"/>
      <c r="G66" s="79"/>
      <c r="H66" s="5">
        <v>43.23</v>
      </c>
      <c r="I66" s="1" t="s">
        <v>38</v>
      </c>
      <c r="J66" s="144">
        <v>35.44</v>
      </c>
      <c r="K66" s="106">
        <f>SUM(H66*J66)</f>
        <v>1532.0711999999999</v>
      </c>
    </row>
    <row r="67" spans="1:11">
      <c r="A67">
        <v>160223</v>
      </c>
      <c r="B67" s="72" t="s">
        <v>106</v>
      </c>
      <c r="C67" s="1575" t="s">
        <v>107</v>
      </c>
      <c r="D67" s="1576"/>
      <c r="E67" s="1576"/>
      <c r="F67" s="1576"/>
      <c r="G67" s="1577"/>
      <c r="H67" s="9">
        <v>6.6</v>
      </c>
      <c r="I67" s="2" t="s">
        <v>52</v>
      </c>
      <c r="J67" s="3">
        <v>16.36</v>
      </c>
      <c r="K67" s="81">
        <f>SUM(H67*J67)</f>
        <v>107.97599999999998</v>
      </c>
    </row>
    <row r="68" spans="1:11">
      <c r="B68" s="166"/>
      <c r="C68" s="163"/>
      <c r="D68" s="164"/>
      <c r="E68" s="164"/>
      <c r="F68" s="164"/>
      <c r="G68" s="165"/>
      <c r="H68" s="51"/>
      <c r="I68" s="2"/>
      <c r="J68" s="2"/>
      <c r="K68" s="82"/>
    </row>
    <row r="69" spans="1:11">
      <c r="B69" s="89">
        <v>7</v>
      </c>
      <c r="C69" s="1592" t="s">
        <v>78</v>
      </c>
      <c r="D69" s="1592"/>
      <c r="E69" s="1592"/>
      <c r="F69" s="1592"/>
      <c r="G69" s="1592"/>
      <c r="H69" s="52"/>
      <c r="I69" s="48"/>
      <c r="J69" s="48"/>
      <c r="K69" s="70">
        <f>SUM(K70:K76)</f>
        <v>5948.4315000000006</v>
      </c>
    </row>
    <row r="70" spans="1:11" ht="15.75" thickBot="1">
      <c r="A70">
        <v>170202</v>
      </c>
      <c r="B70" s="94" t="s">
        <v>108</v>
      </c>
      <c r="C70" s="1590" t="s">
        <v>65</v>
      </c>
      <c r="D70" s="1590"/>
      <c r="E70" s="1590"/>
      <c r="F70" s="1590"/>
      <c r="G70" s="1590"/>
      <c r="H70" s="58">
        <f>H57*2</f>
        <v>138</v>
      </c>
      <c r="I70" s="59" t="s">
        <v>38</v>
      </c>
      <c r="J70" s="146">
        <v>4.26</v>
      </c>
      <c r="K70" s="98">
        <f>SUM(H70*J70)</f>
        <v>587.88</v>
      </c>
    </row>
    <row r="71" spans="1:11" ht="15.75" thickTop="1">
      <c r="B71" s="38"/>
      <c r="C71" s="95"/>
      <c r="D71" s="95"/>
      <c r="E71" s="95"/>
      <c r="F71" s="95"/>
      <c r="G71" s="95"/>
      <c r="H71" s="96"/>
      <c r="I71" s="38"/>
      <c r="J71" s="145"/>
      <c r="K71" s="97"/>
    </row>
    <row r="72" spans="1:11" ht="15.75" thickBot="1">
      <c r="B72" s="60"/>
      <c r="C72" s="103"/>
      <c r="D72" s="103"/>
      <c r="E72" s="103"/>
      <c r="F72" s="103"/>
      <c r="G72" s="103"/>
      <c r="H72" s="104"/>
      <c r="I72" s="60"/>
      <c r="J72" s="147"/>
      <c r="K72" s="105"/>
    </row>
    <row r="73" spans="1:11" ht="15.75" thickTop="1">
      <c r="A73">
        <v>170212</v>
      </c>
      <c r="B73" s="93" t="s">
        <v>109</v>
      </c>
      <c r="C73" s="1591" t="s">
        <v>66</v>
      </c>
      <c r="D73" s="1591"/>
      <c r="E73" s="1591"/>
      <c r="F73" s="1591"/>
      <c r="G73" s="1591"/>
      <c r="H73" s="5">
        <f>H70</f>
        <v>138</v>
      </c>
      <c r="I73" s="1" t="s">
        <v>38</v>
      </c>
      <c r="J73" s="123">
        <f>[1]Sheet1!$Z$2279</f>
        <v>11.37</v>
      </c>
      <c r="K73" s="106">
        <f t="shared" ref="K73:K76" si="5">SUM(H73*J73)</f>
        <v>1569.06</v>
      </c>
    </row>
    <row r="74" spans="1:11">
      <c r="A74">
        <v>180613</v>
      </c>
      <c r="B74" s="72" t="s">
        <v>110</v>
      </c>
      <c r="C74" s="1567" t="s">
        <v>111</v>
      </c>
      <c r="D74" s="1567"/>
      <c r="E74" s="1567"/>
      <c r="F74" s="1567"/>
      <c r="G74" s="1567"/>
      <c r="H74" s="9">
        <f>H62</f>
        <v>28.89</v>
      </c>
      <c r="I74" s="2" t="s">
        <v>64</v>
      </c>
      <c r="J74" s="124">
        <v>92.85</v>
      </c>
      <c r="K74" s="81">
        <f t="shared" si="5"/>
        <v>2682.4364999999998</v>
      </c>
    </row>
    <row r="75" spans="1:11">
      <c r="A75">
        <v>181102</v>
      </c>
      <c r="B75" s="72" t="s">
        <v>112</v>
      </c>
      <c r="C75" s="1567" t="s">
        <v>113</v>
      </c>
      <c r="D75" s="1567"/>
      <c r="E75" s="1567"/>
      <c r="F75" s="1567"/>
      <c r="G75" s="1567"/>
      <c r="H75" s="9">
        <v>32.1</v>
      </c>
      <c r="I75" s="2" t="s">
        <v>38</v>
      </c>
      <c r="J75" s="124">
        <v>28.28</v>
      </c>
      <c r="K75" s="81">
        <f t="shared" si="5"/>
        <v>907.78800000000012</v>
      </c>
    </row>
    <row r="76" spans="1:11">
      <c r="A76">
        <v>181120</v>
      </c>
      <c r="B76" s="72" t="s">
        <v>114</v>
      </c>
      <c r="C76" s="1567" t="s">
        <v>115</v>
      </c>
      <c r="D76" s="1567"/>
      <c r="E76" s="1567"/>
      <c r="F76" s="1567"/>
      <c r="G76" s="1567"/>
      <c r="H76" s="9">
        <f>H75</f>
        <v>32.1</v>
      </c>
      <c r="I76" s="2" t="s">
        <v>38</v>
      </c>
      <c r="J76" s="124">
        <v>6.27</v>
      </c>
      <c r="K76" s="81">
        <f t="shared" si="5"/>
        <v>201.267</v>
      </c>
    </row>
    <row r="77" spans="1:11">
      <c r="B77" s="74"/>
      <c r="C77" s="32"/>
      <c r="D77" s="28"/>
      <c r="E77" s="28"/>
      <c r="F77" s="28"/>
      <c r="G77" s="33"/>
      <c r="H77" s="51"/>
      <c r="I77" s="2"/>
      <c r="J77" s="2"/>
      <c r="K77" s="82"/>
    </row>
    <row r="78" spans="1:11">
      <c r="B78" s="89">
        <v>8</v>
      </c>
      <c r="C78" s="1592" t="s">
        <v>116</v>
      </c>
      <c r="D78" s="1592"/>
      <c r="E78" s="1592"/>
      <c r="F78" s="1592"/>
      <c r="G78" s="1592"/>
      <c r="H78" s="52"/>
      <c r="I78" s="48"/>
      <c r="J78" s="48"/>
      <c r="K78" s="70">
        <f>SUM(K79:K91)</f>
        <v>4956.3100000000004</v>
      </c>
    </row>
    <row r="79" spans="1:11">
      <c r="A79">
        <v>370322</v>
      </c>
      <c r="B79" s="72" t="s">
        <v>117</v>
      </c>
      <c r="C79" s="1567" t="s">
        <v>118</v>
      </c>
      <c r="D79" s="1567"/>
      <c r="E79" s="1567"/>
      <c r="F79" s="1567"/>
      <c r="G79" s="1567"/>
      <c r="H79" s="5">
        <v>1</v>
      </c>
      <c r="I79" s="2" t="s">
        <v>80</v>
      </c>
      <c r="J79" s="122">
        <v>350.46</v>
      </c>
      <c r="K79" s="81">
        <f>SUM(H79*J79)</f>
        <v>350.46</v>
      </c>
    </row>
    <row r="80" spans="1:11">
      <c r="A80">
        <v>371001</v>
      </c>
      <c r="B80" s="72" t="s">
        <v>119</v>
      </c>
      <c r="C80" s="1565" t="s">
        <v>120</v>
      </c>
      <c r="D80" s="1565"/>
      <c r="E80" s="1565"/>
      <c r="F80" s="1565"/>
      <c r="G80" s="1565"/>
      <c r="H80" s="5">
        <v>5</v>
      </c>
      <c r="I80" s="2" t="s">
        <v>50</v>
      </c>
      <c r="J80" s="124">
        <v>44.33</v>
      </c>
      <c r="K80" s="81">
        <f t="shared" ref="K80:K91" si="6">SUM(H80*J80)</f>
        <v>221.64999999999998</v>
      </c>
    </row>
    <row r="81" spans="1:11">
      <c r="A81">
        <v>400701</v>
      </c>
      <c r="B81" s="72" t="s">
        <v>121</v>
      </c>
      <c r="C81" s="1565" t="s">
        <v>122</v>
      </c>
      <c r="D81" s="1565"/>
      <c r="E81" s="1565"/>
      <c r="F81" s="1565"/>
      <c r="G81" s="1565"/>
      <c r="H81" s="5">
        <v>10</v>
      </c>
      <c r="I81" s="2" t="s">
        <v>80</v>
      </c>
      <c r="J81" s="124">
        <v>8.9700000000000006</v>
      </c>
      <c r="K81" s="81">
        <f t="shared" si="6"/>
        <v>89.7</v>
      </c>
    </row>
    <row r="82" spans="1:11">
      <c r="A82">
        <v>400702</v>
      </c>
      <c r="B82" s="72" t="s">
        <v>123</v>
      </c>
      <c r="C82" s="1565" t="s">
        <v>124</v>
      </c>
      <c r="D82" s="1565"/>
      <c r="E82" s="1565"/>
      <c r="F82" s="1565"/>
      <c r="G82" s="1565"/>
      <c r="H82" s="5">
        <v>2</v>
      </c>
      <c r="I82" s="2" t="s">
        <v>80</v>
      </c>
      <c r="J82" s="124">
        <v>10.53</v>
      </c>
      <c r="K82" s="81">
        <f t="shared" si="6"/>
        <v>21.06</v>
      </c>
    </row>
    <row r="83" spans="1:11">
      <c r="A83">
        <v>381903</v>
      </c>
      <c r="B83" s="72" t="s">
        <v>125</v>
      </c>
      <c r="C83" s="1565" t="s">
        <v>126</v>
      </c>
      <c r="D83" s="1565"/>
      <c r="E83" s="1565"/>
      <c r="F83" s="1565"/>
      <c r="G83" s="1565"/>
      <c r="H83" s="5">
        <v>200</v>
      </c>
      <c r="I83" s="2" t="s">
        <v>52</v>
      </c>
      <c r="J83" s="124">
        <v>9.92</v>
      </c>
      <c r="K83" s="81">
        <f t="shared" si="6"/>
        <v>1984</v>
      </c>
    </row>
    <row r="84" spans="1:11">
      <c r="A84">
        <v>381922</v>
      </c>
      <c r="B84" s="72" t="s">
        <v>127</v>
      </c>
      <c r="C84" s="1567" t="s">
        <v>128</v>
      </c>
      <c r="D84" s="1567"/>
      <c r="E84" s="1567"/>
      <c r="F84" s="1567"/>
      <c r="G84" s="1567"/>
      <c r="H84" s="5">
        <v>50</v>
      </c>
      <c r="I84" s="2" t="s">
        <v>52</v>
      </c>
      <c r="J84" s="125">
        <v>10.97</v>
      </c>
      <c r="K84" s="81">
        <f t="shared" si="6"/>
        <v>548.5</v>
      </c>
    </row>
    <row r="85" spans="1:11">
      <c r="A85">
        <v>390201</v>
      </c>
      <c r="B85" s="72" t="s">
        <v>129</v>
      </c>
      <c r="C85" s="1565" t="s">
        <v>130</v>
      </c>
      <c r="D85" s="1565"/>
      <c r="E85" s="1565"/>
      <c r="F85" s="1565"/>
      <c r="G85" s="1565"/>
      <c r="H85" s="5">
        <v>100</v>
      </c>
      <c r="I85" s="2" t="s">
        <v>52</v>
      </c>
      <c r="J85" s="125">
        <v>1.65</v>
      </c>
      <c r="K85" s="81">
        <f t="shared" si="6"/>
        <v>165</v>
      </c>
    </row>
    <row r="86" spans="1:11">
      <c r="A86">
        <v>390216</v>
      </c>
      <c r="B86" s="72" t="s">
        <v>131</v>
      </c>
      <c r="C86" s="1565" t="s">
        <v>132</v>
      </c>
      <c r="D86" s="1565"/>
      <c r="E86" s="1565"/>
      <c r="F86" s="1565"/>
      <c r="G86" s="1565"/>
      <c r="H86" s="5">
        <v>150</v>
      </c>
      <c r="I86" s="2" t="s">
        <v>52</v>
      </c>
      <c r="J86" s="125">
        <v>2.23</v>
      </c>
      <c r="K86" s="81">
        <f t="shared" si="6"/>
        <v>334.5</v>
      </c>
    </row>
    <row r="87" spans="1:11">
      <c r="A87">
        <v>390217</v>
      </c>
      <c r="B87" s="72" t="s">
        <v>133</v>
      </c>
      <c r="C87" s="1565" t="s">
        <v>134</v>
      </c>
      <c r="D87" s="1565"/>
      <c r="E87" s="1565"/>
      <c r="F87" s="1565"/>
      <c r="G87" s="1565"/>
      <c r="H87" s="5">
        <v>100</v>
      </c>
      <c r="I87" s="2" t="s">
        <v>52</v>
      </c>
      <c r="J87" s="125">
        <v>2.99</v>
      </c>
      <c r="K87" s="81">
        <f t="shared" si="6"/>
        <v>299</v>
      </c>
    </row>
    <row r="88" spans="1:11">
      <c r="A88">
        <v>390205</v>
      </c>
      <c r="B88" s="72" t="s">
        <v>135</v>
      </c>
      <c r="C88" s="1565" t="s">
        <v>136</v>
      </c>
      <c r="D88" s="1565"/>
      <c r="E88" s="1565"/>
      <c r="F88" s="1565"/>
      <c r="G88" s="1565"/>
      <c r="H88" s="5">
        <v>100</v>
      </c>
      <c r="I88" s="2" t="s">
        <v>52</v>
      </c>
      <c r="J88" s="125">
        <v>7.65</v>
      </c>
      <c r="K88" s="81">
        <f t="shared" si="6"/>
        <v>765</v>
      </c>
    </row>
    <row r="89" spans="1:11">
      <c r="A89">
        <v>371360</v>
      </c>
      <c r="B89" s="72" t="s">
        <v>137</v>
      </c>
      <c r="C89" s="1567" t="s">
        <v>138</v>
      </c>
      <c r="D89" s="1567"/>
      <c r="E89" s="1567"/>
      <c r="F89" s="1567"/>
      <c r="G89" s="1567"/>
      <c r="H89" s="5">
        <v>6</v>
      </c>
      <c r="I89" s="2" t="s">
        <v>80</v>
      </c>
      <c r="J89" s="124">
        <v>15.42</v>
      </c>
      <c r="K89" s="81">
        <f t="shared" si="6"/>
        <v>92.52</v>
      </c>
    </row>
    <row r="90" spans="1:11">
      <c r="A90">
        <v>400508</v>
      </c>
      <c r="B90" s="72" t="s">
        <v>139</v>
      </c>
      <c r="C90" s="1565" t="s">
        <v>140</v>
      </c>
      <c r="D90" s="1565"/>
      <c r="E90" s="1565"/>
      <c r="F90" s="1565"/>
      <c r="G90" s="1565"/>
      <c r="H90" s="5">
        <v>2</v>
      </c>
      <c r="I90" s="2" t="s">
        <v>80</v>
      </c>
      <c r="J90" s="126">
        <v>13.4</v>
      </c>
      <c r="K90" s="81">
        <f t="shared" si="6"/>
        <v>26.8</v>
      </c>
    </row>
    <row r="91" spans="1:11">
      <c r="A91">
        <v>400445</v>
      </c>
      <c r="B91" s="72" t="s">
        <v>141</v>
      </c>
      <c r="C91" s="1565" t="s">
        <v>142</v>
      </c>
      <c r="D91" s="1565"/>
      <c r="E91" s="1565"/>
      <c r="F91" s="1565"/>
      <c r="G91" s="1565"/>
      <c r="H91" s="5">
        <v>4</v>
      </c>
      <c r="I91" s="2" t="s">
        <v>80</v>
      </c>
      <c r="J91" s="125">
        <v>14.53</v>
      </c>
      <c r="K91" s="81">
        <f t="shared" si="6"/>
        <v>58.12</v>
      </c>
    </row>
    <row r="92" spans="1:11">
      <c r="B92" s="166"/>
      <c r="C92" s="163"/>
      <c r="D92" s="164"/>
      <c r="E92" s="164"/>
      <c r="F92" s="164"/>
      <c r="G92" s="165"/>
      <c r="H92" s="51"/>
      <c r="I92" s="2"/>
      <c r="J92" s="2"/>
      <c r="K92" s="82"/>
    </row>
    <row r="93" spans="1:11">
      <c r="B93" s="89">
        <v>9</v>
      </c>
      <c r="C93" s="1584" t="s">
        <v>143</v>
      </c>
      <c r="D93" s="1585"/>
      <c r="E93" s="1585"/>
      <c r="F93" s="1585"/>
      <c r="G93" s="1586"/>
      <c r="H93" s="52"/>
      <c r="I93" s="48"/>
      <c r="J93" s="48"/>
      <c r="K93" s="70">
        <f>SUM(K94:K114)</f>
        <v>10161.979999999998</v>
      </c>
    </row>
    <row r="94" spans="1:11">
      <c r="A94">
        <v>480202</v>
      </c>
      <c r="B94" s="72" t="s">
        <v>144</v>
      </c>
      <c r="C94" s="1561" t="s">
        <v>331</v>
      </c>
      <c r="D94" s="1562"/>
      <c r="E94" s="1562"/>
      <c r="F94" s="1562"/>
      <c r="G94" s="1563"/>
      <c r="H94" s="5">
        <v>1</v>
      </c>
      <c r="I94" s="2" t="s">
        <v>80</v>
      </c>
      <c r="J94" s="122">
        <v>338.79</v>
      </c>
      <c r="K94" s="81">
        <f>SUM(H94*J94)</f>
        <v>338.79</v>
      </c>
    </row>
    <row r="95" spans="1:11">
      <c r="A95">
        <v>460105</v>
      </c>
      <c r="B95" s="72" t="s">
        <v>145</v>
      </c>
      <c r="C95" s="1561" t="s">
        <v>146</v>
      </c>
      <c r="D95" s="1562"/>
      <c r="E95" s="1562"/>
      <c r="F95" s="1562"/>
      <c r="G95" s="1563"/>
      <c r="H95" s="5">
        <v>18</v>
      </c>
      <c r="I95" s="2" t="s">
        <v>52</v>
      </c>
      <c r="J95" s="124">
        <v>29</v>
      </c>
      <c r="K95" s="81">
        <f t="shared" ref="K95:K114" si="7">SUM(H95*J95)</f>
        <v>522</v>
      </c>
    </row>
    <row r="96" spans="1:11">
      <c r="A96">
        <v>470105</v>
      </c>
      <c r="B96" s="72" t="s">
        <v>147</v>
      </c>
      <c r="C96" s="1561" t="s">
        <v>148</v>
      </c>
      <c r="D96" s="1562"/>
      <c r="E96" s="1562"/>
      <c r="F96" s="1562"/>
      <c r="G96" s="1563"/>
      <c r="H96" s="5">
        <v>1</v>
      </c>
      <c r="I96" s="2" t="s">
        <v>80</v>
      </c>
      <c r="J96" s="124">
        <v>86.32</v>
      </c>
      <c r="K96" s="81">
        <f t="shared" si="7"/>
        <v>86.32</v>
      </c>
    </row>
    <row r="97" spans="1:11">
      <c r="A97">
        <v>480501</v>
      </c>
      <c r="B97" s="72" t="s">
        <v>149</v>
      </c>
      <c r="C97" s="1561" t="s">
        <v>150</v>
      </c>
      <c r="D97" s="1562"/>
      <c r="E97" s="1562"/>
      <c r="F97" s="1562"/>
      <c r="G97" s="1563"/>
      <c r="H97" s="5">
        <v>1</v>
      </c>
      <c r="I97" s="2" t="s">
        <v>80</v>
      </c>
      <c r="J97" s="124">
        <v>48.6</v>
      </c>
      <c r="K97" s="81">
        <f t="shared" si="7"/>
        <v>48.6</v>
      </c>
    </row>
    <row r="98" spans="1:11">
      <c r="A98">
        <v>460102</v>
      </c>
      <c r="B98" s="72" t="s">
        <v>151</v>
      </c>
      <c r="C98" s="1561" t="s">
        <v>152</v>
      </c>
      <c r="D98" s="1562"/>
      <c r="E98" s="1562"/>
      <c r="F98" s="1562"/>
      <c r="G98" s="1563"/>
      <c r="H98" s="5">
        <v>48</v>
      </c>
      <c r="I98" s="2" t="s">
        <v>52</v>
      </c>
      <c r="J98" s="124">
        <v>18.170000000000002</v>
      </c>
      <c r="K98" s="81">
        <f t="shared" si="7"/>
        <v>872.16000000000008</v>
      </c>
    </row>
    <row r="99" spans="1:11">
      <c r="A99">
        <v>470205</v>
      </c>
      <c r="B99" s="72" t="s">
        <v>153</v>
      </c>
      <c r="C99" s="1575" t="s">
        <v>154</v>
      </c>
      <c r="D99" s="1576"/>
      <c r="E99" s="1576"/>
      <c r="F99" s="1576"/>
      <c r="G99" s="1577"/>
      <c r="H99" s="5">
        <v>2</v>
      </c>
      <c r="I99" s="2" t="s">
        <v>80</v>
      </c>
      <c r="J99" s="125">
        <v>117.37</v>
      </c>
      <c r="K99" s="81">
        <f t="shared" si="7"/>
        <v>234.74</v>
      </c>
    </row>
    <row r="100" spans="1:11">
      <c r="A100">
        <v>470211</v>
      </c>
      <c r="B100" s="72" t="s">
        <v>155</v>
      </c>
      <c r="C100" s="1575" t="s">
        <v>156</v>
      </c>
      <c r="D100" s="1576"/>
      <c r="E100" s="1576"/>
      <c r="F100" s="1576"/>
      <c r="G100" s="1577"/>
      <c r="H100" s="5">
        <v>3</v>
      </c>
      <c r="I100" s="2" t="s">
        <v>80</v>
      </c>
      <c r="J100" s="125">
        <v>72.62</v>
      </c>
      <c r="K100" s="81">
        <f t="shared" si="7"/>
        <v>217.86</v>
      </c>
    </row>
    <row r="101" spans="1:11">
      <c r="A101">
        <v>440346</v>
      </c>
      <c r="B101" s="72" t="s">
        <v>184</v>
      </c>
      <c r="C101" s="1561" t="s">
        <v>158</v>
      </c>
      <c r="D101" s="1562"/>
      <c r="E101" s="1562"/>
      <c r="F101" s="1562"/>
      <c r="G101" s="1563"/>
      <c r="H101" s="5">
        <v>4</v>
      </c>
      <c r="I101" s="2" t="s">
        <v>80</v>
      </c>
      <c r="J101" s="125">
        <v>33.65</v>
      </c>
      <c r="K101" s="81">
        <f t="shared" si="7"/>
        <v>134.6</v>
      </c>
    </row>
    <row r="102" spans="1:11">
      <c r="A102">
        <v>490102</v>
      </c>
      <c r="B102" s="72" t="s">
        <v>185</v>
      </c>
      <c r="C102" s="1561" t="s">
        <v>160</v>
      </c>
      <c r="D102" s="1562"/>
      <c r="E102" s="1562"/>
      <c r="F102" s="1562"/>
      <c r="G102" s="1563"/>
      <c r="H102" s="5">
        <v>3</v>
      </c>
      <c r="I102" s="2" t="s">
        <v>80</v>
      </c>
      <c r="J102" s="125">
        <v>53.17</v>
      </c>
      <c r="K102" s="81">
        <f t="shared" si="7"/>
        <v>159.51</v>
      </c>
    </row>
    <row r="103" spans="1:11">
      <c r="A103">
        <v>460207</v>
      </c>
      <c r="B103" s="72" t="s">
        <v>157</v>
      </c>
      <c r="C103" s="1575" t="s">
        <v>162</v>
      </c>
      <c r="D103" s="1576"/>
      <c r="E103" s="1576"/>
      <c r="F103" s="1576"/>
      <c r="G103" s="1577"/>
      <c r="H103" s="5">
        <v>48</v>
      </c>
      <c r="I103" s="2" t="s">
        <v>52</v>
      </c>
      <c r="J103" s="125">
        <v>45.25</v>
      </c>
      <c r="K103" s="81">
        <f t="shared" si="7"/>
        <v>2172</v>
      </c>
    </row>
    <row r="104" spans="1:11">
      <c r="A104">
        <v>460205</v>
      </c>
      <c r="B104" s="72" t="s">
        <v>159</v>
      </c>
      <c r="C104" s="1575" t="s">
        <v>164</v>
      </c>
      <c r="D104" s="1576"/>
      <c r="E104" s="1576"/>
      <c r="F104" s="1576"/>
      <c r="G104" s="1577"/>
      <c r="H104" s="5">
        <v>12</v>
      </c>
      <c r="I104" s="2" t="s">
        <v>52</v>
      </c>
      <c r="J104" s="125">
        <v>26.04</v>
      </c>
      <c r="K104" s="81">
        <f t="shared" si="7"/>
        <v>312.48</v>
      </c>
    </row>
    <row r="105" spans="1:11">
      <c r="A105">
        <v>440180</v>
      </c>
      <c r="B105" s="72" t="s">
        <v>161</v>
      </c>
      <c r="C105" s="1575" t="s">
        <v>167</v>
      </c>
      <c r="D105" s="1576"/>
      <c r="E105" s="1576"/>
      <c r="F105" s="1576"/>
      <c r="G105" s="1577"/>
      <c r="H105" s="5">
        <v>3</v>
      </c>
      <c r="I105" s="2" t="s">
        <v>80</v>
      </c>
      <c r="J105" s="125">
        <v>375.05</v>
      </c>
      <c r="K105" s="81">
        <f t="shared" si="7"/>
        <v>1125.1500000000001</v>
      </c>
    </row>
    <row r="106" spans="1:11">
      <c r="A106">
        <v>440111</v>
      </c>
      <c r="B106" s="150" t="s">
        <v>163</v>
      </c>
      <c r="C106" s="1599" t="s">
        <v>169</v>
      </c>
      <c r="D106" s="1600"/>
      <c r="E106" s="1600"/>
      <c r="F106" s="1600"/>
      <c r="G106" s="1601"/>
      <c r="H106" s="151">
        <v>2</v>
      </c>
      <c r="I106" s="152" t="s">
        <v>80</v>
      </c>
      <c r="J106" s="153">
        <v>177.74</v>
      </c>
      <c r="K106" s="76">
        <f t="shared" si="7"/>
        <v>355.48</v>
      </c>
    </row>
    <row r="107" spans="1:11">
      <c r="A107">
        <v>440120</v>
      </c>
      <c r="B107" s="72" t="s">
        <v>187</v>
      </c>
      <c r="C107" s="1561" t="s">
        <v>171</v>
      </c>
      <c r="D107" s="1562"/>
      <c r="E107" s="1562"/>
      <c r="F107" s="1562"/>
      <c r="G107" s="1563"/>
      <c r="H107" s="9">
        <v>2</v>
      </c>
      <c r="I107" s="2" t="s">
        <v>80</v>
      </c>
      <c r="J107" s="125">
        <v>312.66000000000003</v>
      </c>
      <c r="K107" s="81">
        <f t="shared" si="7"/>
        <v>625.32000000000005</v>
      </c>
    </row>
    <row r="108" spans="1:11">
      <c r="A108">
        <v>300806</v>
      </c>
      <c r="B108" s="93" t="s">
        <v>166</v>
      </c>
      <c r="C108" s="1602" t="s">
        <v>173</v>
      </c>
      <c r="D108" s="1603"/>
      <c r="E108" s="1603"/>
      <c r="F108" s="1603"/>
      <c r="G108" s="1604"/>
      <c r="H108" s="5">
        <v>2</v>
      </c>
      <c r="I108" s="1" t="s">
        <v>80</v>
      </c>
      <c r="J108" s="130">
        <v>417.26</v>
      </c>
      <c r="K108" s="106">
        <f t="shared" si="7"/>
        <v>834.52</v>
      </c>
    </row>
    <row r="109" spans="1:11">
      <c r="A109">
        <v>300804</v>
      </c>
      <c r="B109" s="72" t="s">
        <v>168</v>
      </c>
      <c r="C109" s="1575" t="s">
        <v>175</v>
      </c>
      <c r="D109" s="1576"/>
      <c r="E109" s="1576"/>
      <c r="F109" s="1576"/>
      <c r="G109" s="1577"/>
      <c r="H109" s="5">
        <v>2</v>
      </c>
      <c r="I109" s="2" t="s">
        <v>80</v>
      </c>
      <c r="J109" s="125">
        <v>765.03</v>
      </c>
      <c r="K109" s="81">
        <f t="shared" si="7"/>
        <v>1530.06</v>
      </c>
    </row>
    <row r="110" spans="1:11" ht="15.75" thickBot="1">
      <c r="A110">
        <v>300108</v>
      </c>
      <c r="B110" s="94" t="s">
        <v>170</v>
      </c>
      <c r="C110" s="1593" t="s">
        <v>177</v>
      </c>
      <c r="D110" s="1594"/>
      <c r="E110" s="1594"/>
      <c r="F110" s="1594"/>
      <c r="G110" s="1595"/>
      <c r="H110" s="58">
        <v>4</v>
      </c>
      <c r="I110" s="59" t="s">
        <v>80</v>
      </c>
      <c r="J110" s="127">
        <v>95.95</v>
      </c>
      <c r="K110" s="98">
        <f t="shared" si="7"/>
        <v>383.8</v>
      </c>
    </row>
    <row r="111" spans="1:11" ht="15.75" thickTop="1">
      <c r="B111" s="38"/>
      <c r="C111" s="40"/>
      <c r="D111" s="40"/>
      <c r="E111" s="40"/>
      <c r="F111" s="40"/>
      <c r="G111" s="40"/>
      <c r="H111" s="96"/>
      <c r="I111" s="38"/>
      <c r="J111" s="148"/>
      <c r="K111" s="97"/>
    </row>
    <row r="112" spans="1:11" ht="15.75" thickBot="1">
      <c r="B112" s="60"/>
      <c r="C112" s="39"/>
      <c r="D112" s="39"/>
      <c r="E112" s="39"/>
      <c r="F112" s="39"/>
      <c r="G112" s="39"/>
      <c r="H112" s="104"/>
      <c r="I112" s="60"/>
      <c r="J112" s="131"/>
      <c r="K112" s="105"/>
    </row>
    <row r="113" spans="1:11" ht="15.75" thickTop="1">
      <c r="A113">
        <v>430214</v>
      </c>
      <c r="B113" s="93" t="s">
        <v>172</v>
      </c>
      <c r="C113" s="1596" t="s">
        <v>179</v>
      </c>
      <c r="D113" s="1597"/>
      <c r="E113" s="1597"/>
      <c r="F113" s="1597"/>
      <c r="G113" s="1598"/>
      <c r="H113" s="5">
        <v>2</v>
      </c>
      <c r="I113" s="1" t="s">
        <v>80</v>
      </c>
      <c r="J113" s="130">
        <v>65.040000000000006</v>
      </c>
      <c r="K113" s="106">
        <f t="shared" si="7"/>
        <v>130.08000000000001</v>
      </c>
    </row>
    <row r="114" spans="1:11">
      <c r="A114">
        <v>440321</v>
      </c>
      <c r="B114" s="93" t="s">
        <v>174</v>
      </c>
      <c r="C114" s="1575" t="s">
        <v>317</v>
      </c>
      <c r="D114" s="1576"/>
      <c r="E114" s="1576"/>
      <c r="F114" s="1576"/>
      <c r="G114" s="1577"/>
      <c r="H114" s="5">
        <v>1</v>
      </c>
      <c r="I114" s="1" t="s">
        <v>80</v>
      </c>
      <c r="J114" s="130">
        <v>78.510000000000005</v>
      </c>
      <c r="K114" s="106">
        <f t="shared" si="7"/>
        <v>78.510000000000005</v>
      </c>
    </row>
    <row r="115" spans="1:11">
      <c r="B115" s="74"/>
      <c r="C115" s="163"/>
      <c r="D115" s="164"/>
      <c r="E115" s="164"/>
      <c r="F115" s="164"/>
      <c r="G115" s="165"/>
      <c r="H115" s="51"/>
      <c r="I115" s="2"/>
      <c r="J115" s="2"/>
      <c r="K115" s="82"/>
    </row>
    <row r="116" spans="1:11">
      <c r="B116" s="89">
        <v>10</v>
      </c>
      <c r="C116" s="1584" t="s">
        <v>190</v>
      </c>
      <c r="D116" s="1585"/>
      <c r="E116" s="1585"/>
      <c r="F116" s="1585"/>
      <c r="G116" s="1586"/>
      <c r="H116" s="52"/>
      <c r="I116" s="48"/>
      <c r="J116" s="48"/>
      <c r="K116" s="70">
        <f>SUM(K117:K118)</f>
        <v>1742.1210000000001</v>
      </c>
    </row>
    <row r="117" spans="1:11">
      <c r="A117">
        <v>331201</v>
      </c>
      <c r="B117" s="72" t="s">
        <v>194</v>
      </c>
      <c r="C117" s="1561" t="s">
        <v>192</v>
      </c>
      <c r="D117" s="1562"/>
      <c r="E117" s="1562"/>
      <c r="F117" s="1562"/>
      <c r="G117" s="1563"/>
      <c r="H117" s="5">
        <v>9</v>
      </c>
      <c r="I117" s="2" t="s">
        <v>38</v>
      </c>
      <c r="J117" s="124">
        <v>23.07</v>
      </c>
      <c r="K117" s="81">
        <f>SUM(H117*J117)</f>
        <v>207.63</v>
      </c>
    </row>
    <row r="118" spans="1:11">
      <c r="A118">
        <v>331005</v>
      </c>
      <c r="B118" s="72" t="s">
        <v>191</v>
      </c>
      <c r="C118" s="1561" t="s">
        <v>193</v>
      </c>
      <c r="D118" s="1562"/>
      <c r="E118" s="1562"/>
      <c r="F118" s="1562"/>
      <c r="G118" s="1563"/>
      <c r="H118" s="5">
        <f>H73-H75</f>
        <v>105.9</v>
      </c>
      <c r="I118" s="2" t="s">
        <v>38</v>
      </c>
      <c r="J118" s="124">
        <v>14.49</v>
      </c>
      <c r="K118" s="81">
        <f t="shared" ref="K118" si="8">SUM(H118*J118)</f>
        <v>1534.4910000000002</v>
      </c>
    </row>
    <row r="119" spans="1:11">
      <c r="B119" s="166"/>
      <c r="C119" s="163"/>
      <c r="D119" s="164"/>
      <c r="E119" s="164"/>
      <c r="F119" s="164"/>
      <c r="G119" s="165"/>
      <c r="H119" s="51"/>
      <c r="I119" s="2"/>
      <c r="J119" s="2"/>
      <c r="K119" s="82"/>
    </row>
    <row r="120" spans="1:11">
      <c r="B120" s="110">
        <v>11</v>
      </c>
      <c r="C120" s="1572" t="s">
        <v>195</v>
      </c>
      <c r="D120" s="1573"/>
      <c r="E120" s="1573"/>
      <c r="F120" s="1573"/>
      <c r="G120" s="1574"/>
      <c r="H120" s="52"/>
      <c r="I120" s="48"/>
      <c r="J120" s="48"/>
      <c r="K120" s="70">
        <f>SUM(K121:K126)</f>
        <v>6078.8019999999997</v>
      </c>
    </row>
    <row r="121" spans="1:11">
      <c r="A121">
        <v>260204</v>
      </c>
      <c r="B121" s="93" t="s">
        <v>197</v>
      </c>
      <c r="C121" s="1561" t="s">
        <v>196</v>
      </c>
      <c r="D121" s="1562"/>
      <c r="E121" s="1562"/>
      <c r="F121" s="1562"/>
      <c r="G121" s="1563"/>
      <c r="H121" s="4">
        <v>4.8</v>
      </c>
      <c r="I121" s="2" t="s">
        <v>38</v>
      </c>
      <c r="J121" s="124">
        <v>147.88999999999999</v>
      </c>
      <c r="K121" s="81">
        <f>SUM(H121*J121)</f>
        <v>709.87199999999996</v>
      </c>
    </row>
    <row r="122" spans="1:11">
      <c r="A122">
        <v>230944</v>
      </c>
      <c r="B122" s="149" t="s">
        <v>186</v>
      </c>
      <c r="C122" s="1605" t="s">
        <v>165</v>
      </c>
      <c r="D122" s="1606"/>
      <c r="E122" s="1606"/>
      <c r="F122" s="1606"/>
      <c r="G122" s="1607"/>
      <c r="H122" s="151">
        <v>2</v>
      </c>
      <c r="I122" s="152" t="s">
        <v>189</v>
      </c>
      <c r="J122" s="153">
        <v>197.68</v>
      </c>
      <c r="K122" s="76">
        <f t="shared" ref="K122:K126" si="9">SUM(H122*J122)</f>
        <v>395.36</v>
      </c>
    </row>
    <row r="123" spans="1:11">
      <c r="A123">
        <v>280102</v>
      </c>
      <c r="B123" s="149" t="s">
        <v>174</v>
      </c>
      <c r="C123" s="1605" t="s">
        <v>180</v>
      </c>
      <c r="D123" s="1606"/>
      <c r="E123" s="1606"/>
      <c r="F123" s="1606"/>
      <c r="G123" s="1607"/>
      <c r="H123" s="151">
        <v>2</v>
      </c>
      <c r="I123" s="152" t="s">
        <v>80</v>
      </c>
      <c r="J123" s="153">
        <v>172.63</v>
      </c>
      <c r="K123" s="76">
        <f t="shared" si="9"/>
        <v>345.26</v>
      </c>
    </row>
    <row r="124" spans="1:11">
      <c r="A124">
        <v>230956</v>
      </c>
      <c r="B124" s="149" t="s">
        <v>176</v>
      </c>
      <c r="C124" s="1599" t="s">
        <v>181</v>
      </c>
      <c r="D124" s="1600"/>
      <c r="E124" s="1600"/>
      <c r="F124" s="1600"/>
      <c r="G124" s="1601"/>
      <c r="H124" s="151">
        <v>2</v>
      </c>
      <c r="I124" s="152" t="s">
        <v>80</v>
      </c>
      <c r="J124" s="153">
        <v>481.39</v>
      </c>
      <c r="K124" s="76">
        <f t="shared" si="9"/>
        <v>962.78</v>
      </c>
    </row>
    <row r="125" spans="1:11">
      <c r="A125">
        <v>143002</v>
      </c>
      <c r="B125" s="149" t="s">
        <v>188</v>
      </c>
      <c r="C125" s="1599" t="s">
        <v>182</v>
      </c>
      <c r="D125" s="1600"/>
      <c r="E125" s="1600"/>
      <c r="F125" s="1600"/>
      <c r="G125" s="1601"/>
      <c r="H125" s="151">
        <v>20</v>
      </c>
      <c r="I125" s="152" t="s">
        <v>38</v>
      </c>
      <c r="J125" s="153">
        <v>155.75</v>
      </c>
      <c r="K125" s="76">
        <f t="shared" si="9"/>
        <v>3115</v>
      </c>
    </row>
    <row r="126" spans="1:11">
      <c r="A126">
        <v>230942</v>
      </c>
      <c r="B126" s="149" t="s">
        <v>178</v>
      </c>
      <c r="C126" s="1605" t="s">
        <v>183</v>
      </c>
      <c r="D126" s="1606"/>
      <c r="E126" s="1606"/>
      <c r="F126" s="1606"/>
      <c r="G126" s="1607"/>
      <c r="H126" s="151">
        <v>3</v>
      </c>
      <c r="I126" s="152" t="s">
        <v>80</v>
      </c>
      <c r="J126" s="153">
        <v>183.51</v>
      </c>
      <c r="K126" s="76">
        <f t="shared" si="9"/>
        <v>550.53</v>
      </c>
    </row>
    <row r="127" spans="1:11">
      <c r="B127" s="166"/>
      <c r="C127" s="1608"/>
      <c r="D127" s="1609"/>
      <c r="E127" s="1609"/>
      <c r="F127" s="1609"/>
      <c r="G127" s="1610"/>
      <c r="H127" s="51"/>
      <c r="I127" s="2"/>
      <c r="J127" s="19"/>
      <c r="K127" s="107">
        <f>K120+K116+K93+K78+K69+K64+K61+K56+K52+K44+K41</f>
        <v>47134.875140000004</v>
      </c>
    </row>
    <row r="128" spans="1:11">
      <c r="B128" s="1611" t="s">
        <v>21</v>
      </c>
      <c r="C128" s="1612"/>
      <c r="D128" s="1612"/>
      <c r="E128" s="1612"/>
      <c r="F128" s="1612"/>
      <c r="G128" s="1612"/>
      <c r="H128" s="1612"/>
      <c r="I128" s="1612"/>
      <c r="J128" s="34" t="s">
        <v>22</v>
      </c>
      <c r="K128" s="111">
        <f>SUM(K38+K127)*L128</f>
        <v>0</v>
      </c>
    </row>
    <row r="129" spans="1:11">
      <c r="B129" s="1611" t="s">
        <v>23</v>
      </c>
      <c r="C129" s="1612"/>
      <c r="D129" s="1612"/>
      <c r="E129" s="1612"/>
      <c r="F129" s="1612"/>
      <c r="G129" s="1612"/>
      <c r="H129" s="1612"/>
      <c r="I129" s="1612"/>
      <c r="J129" s="112" t="s">
        <v>24</v>
      </c>
      <c r="K129" s="113">
        <v>232000</v>
      </c>
    </row>
    <row r="130" spans="1:11">
      <c r="B130" s="1611" t="s">
        <v>25</v>
      </c>
      <c r="C130" s="1612"/>
      <c r="D130" s="1612"/>
      <c r="E130" s="1612"/>
      <c r="F130" s="1612"/>
      <c r="G130" s="1612"/>
      <c r="H130" s="1612"/>
      <c r="I130" s="1612"/>
      <c r="J130" s="112" t="s">
        <v>26</v>
      </c>
      <c r="K130" s="113">
        <f>K128-K129</f>
        <v>-232000</v>
      </c>
    </row>
    <row r="132" spans="1:11">
      <c r="B132" s="378"/>
      <c r="C132" s="1316" t="s">
        <v>205</v>
      </c>
      <c r="D132" s="1317"/>
      <c r="E132" s="1317"/>
      <c r="F132" s="1317"/>
      <c r="G132" s="1318"/>
      <c r="H132" s="578"/>
      <c r="I132" s="578"/>
      <c r="J132" s="516"/>
      <c r="K132" s="541">
        <f>SUM(K133+K138+K140)</f>
        <v>25419.672999999999</v>
      </c>
    </row>
    <row r="133" spans="1:11">
      <c r="B133" s="380">
        <v>1</v>
      </c>
      <c r="C133" s="1322" t="s">
        <v>36</v>
      </c>
      <c r="D133" s="1322"/>
      <c r="E133" s="1322"/>
      <c r="F133" s="1322"/>
      <c r="G133" s="1322"/>
      <c r="H133" s="181"/>
      <c r="I133" s="182"/>
      <c r="J133" s="517"/>
      <c r="K133" s="513">
        <f>SUM(K134:K137)</f>
        <v>10796.519</v>
      </c>
    </row>
    <row r="134" spans="1:11">
      <c r="B134" s="412" t="s">
        <v>39</v>
      </c>
      <c r="C134" s="1327" t="s">
        <v>364</v>
      </c>
      <c r="D134" s="1328"/>
      <c r="E134" s="1328"/>
      <c r="F134" s="1328"/>
      <c r="G134" s="1329"/>
      <c r="H134" s="185">
        <f>81+291.46</f>
        <v>372.46</v>
      </c>
      <c r="I134" s="186" t="s">
        <v>92</v>
      </c>
      <c r="J134" s="528">
        <v>15</v>
      </c>
      <c r="K134" s="514">
        <f>H134*J134</f>
        <v>5586.9</v>
      </c>
    </row>
    <row r="135" spans="1:11" ht="27" customHeight="1">
      <c r="A135" s="582" t="s">
        <v>437</v>
      </c>
      <c r="B135" s="412" t="s">
        <v>345</v>
      </c>
      <c r="C135" s="1313" t="s">
        <v>93</v>
      </c>
      <c r="D135" s="1314"/>
      <c r="E135" s="1314"/>
      <c r="F135" s="1314"/>
      <c r="G135" s="1315"/>
      <c r="H135" s="185">
        <v>691.27</v>
      </c>
      <c r="I135" s="186" t="s">
        <v>96</v>
      </c>
      <c r="J135" s="528">
        <v>1.88</v>
      </c>
      <c r="K135" s="514">
        <f>H135*J135</f>
        <v>1299.5875999999998</v>
      </c>
    </row>
    <row r="136" spans="1:11">
      <c r="A136" t="s">
        <v>438</v>
      </c>
      <c r="B136" s="412" t="s">
        <v>347</v>
      </c>
      <c r="C136" s="1313" t="s">
        <v>363</v>
      </c>
      <c r="D136" s="1314"/>
      <c r="E136" s="1314"/>
      <c r="F136" s="1314"/>
      <c r="G136" s="1315"/>
      <c r="H136" s="185">
        <f>H134</f>
        <v>372.46</v>
      </c>
      <c r="I136" s="186" t="s">
        <v>92</v>
      </c>
      <c r="J136" s="528">
        <v>4.2300000000000004</v>
      </c>
      <c r="K136" s="514">
        <f>H136*J136</f>
        <v>1575.5058000000001</v>
      </c>
    </row>
    <row r="137" spans="1:11">
      <c r="A137" t="s">
        <v>439</v>
      </c>
      <c r="B137" s="412" t="s">
        <v>349</v>
      </c>
      <c r="C137" s="1313" t="s">
        <v>346</v>
      </c>
      <c r="D137" s="1314"/>
      <c r="E137" s="1314"/>
      <c r="F137" s="1314"/>
      <c r="G137" s="1315"/>
      <c r="H137" s="185">
        <f>215.36+25.81</f>
        <v>241.17000000000002</v>
      </c>
      <c r="I137" s="186" t="s">
        <v>96</v>
      </c>
      <c r="J137" s="528">
        <v>9.68</v>
      </c>
      <c r="K137" s="514">
        <f>H137*J137</f>
        <v>2334.5255999999999</v>
      </c>
    </row>
    <row r="138" spans="1:11">
      <c r="B138" s="380">
        <v>4</v>
      </c>
      <c r="C138" s="1322" t="s">
        <v>63</v>
      </c>
      <c r="D138" s="1322"/>
      <c r="E138" s="1322"/>
      <c r="F138" s="1322"/>
      <c r="G138" s="1322"/>
      <c r="H138" s="182"/>
      <c r="I138" s="189"/>
      <c r="J138" s="537"/>
      <c r="K138" s="384">
        <f>K139</f>
        <v>7373.96</v>
      </c>
    </row>
    <row r="139" spans="1:11">
      <c r="A139" t="s">
        <v>440</v>
      </c>
      <c r="B139" s="389" t="s">
        <v>62</v>
      </c>
      <c r="C139" s="1335" t="s">
        <v>57</v>
      </c>
      <c r="D139" s="1335"/>
      <c r="E139" s="1335"/>
      <c r="F139" s="1335"/>
      <c r="G139" s="1335"/>
      <c r="H139" s="196">
        <f>5.85+3.32</f>
        <v>9.17</v>
      </c>
      <c r="I139" s="186" t="s">
        <v>96</v>
      </c>
      <c r="J139" s="540">
        <v>804.14</v>
      </c>
      <c r="K139" s="390">
        <f>ROUND(H139*J139,2)</f>
        <v>7373.96</v>
      </c>
    </row>
    <row r="140" spans="1:11">
      <c r="B140" s="393">
        <v>5</v>
      </c>
      <c r="C140" s="1336" t="s">
        <v>78</v>
      </c>
      <c r="D140" s="1337"/>
      <c r="E140" s="1337"/>
      <c r="F140" s="1337"/>
      <c r="G140" s="1338"/>
      <c r="H140" s="292"/>
      <c r="I140" s="204"/>
      <c r="J140" s="536"/>
      <c r="K140" s="394">
        <f>SUM(K141:K141)</f>
        <v>7249.1940000000004</v>
      </c>
    </row>
    <row r="141" spans="1:11">
      <c r="A141" t="s">
        <v>441</v>
      </c>
      <c r="B141" s="397" t="s">
        <v>337</v>
      </c>
      <c r="C141" s="1313" t="s">
        <v>334</v>
      </c>
      <c r="D141" s="1314"/>
      <c r="E141" s="1314"/>
      <c r="F141" s="1314"/>
      <c r="G141" s="1315"/>
      <c r="H141" s="201">
        <v>15.63</v>
      </c>
      <c r="I141" s="186" t="s">
        <v>92</v>
      </c>
      <c r="J141" s="535">
        <v>463.8</v>
      </c>
      <c r="K141" s="390">
        <f>H141*J141</f>
        <v>7249.1940000000004</v>
      </c>
    </row>
    <row r="142" spans="1:11">
      <c r="B142" s="412"/>
      <c r="C142" s="572"/>
      <c r="D142" s="573"/>
      <c r="E142" s="573"/>
      <c r="F142" s="573"/>
      <c r="G142" s="574"/>
      <c r="H142" s="201"/>
      <c r="I142" s="186"/>
      <c r="J142" s="535"/>
      <c r="K142" s="390"/>
    </row>
    <row r="143" spans="1:11">
      <c r="B143" s="417"/>
      <c r="C143" s="1316" t="s">
        <v>311</v>
      </c>
      <c r="D143" s="1317"/>
      <c r="E143" s="1317"/>
      <c r="F143" s="1317"/>
      <c r="G143" s="1318"/>
      <c r="H143" s="182"/>
      <c r="I143" s="189"/>
      <c r="J143" s="537"/>
      <c r="K143" s="542">
        <f>SUM(K144+K148+K150)</f>
        <v>12757.4512</v>
      </c>
    </row>
    <row r="144" spans="1:11">
      <c r="B144" s="380">
        <v>3</v>
      </c>
      <c r="C144" s="1301" t="s">
        <v>315</v>
      </c>
      <c r="D144" s="1302"/>
      <c r="E144" s="1302"/>
      <c r="F144" s="1302"/>
      <c r="G144" s="1303"/>
      <c r="H144" s="182"/>
      <c r="I144" s="189"/>
      <c r="J144" s="536"/>
      <c r="K144" s="384">
        <f>SUM(K145:K147)</f>
        <v>5239.0212000000001</v>
      </c>
    </row>
    <row r="145" spans="1:11" ht="27" customHeight="1">
      <c r="A145" s="582" t="s">
        <v>437</v>
      </c>
      <c r="B145" s="385" t="s">
        <v>54</v>
      </c>
      <c r="C145" s="1330" t="s">
        <v>93</v>
      </c>
      <c r="D145" s="1330"/>
      <c r="E145" s="1330"/>
      <c r="F145" s="1330"/>
      <c r="G145" s="1330"/>
      <c r="H145" s="205">
        <f>21.42+84.82</f>
        <v>106.24</v>
      </c>
      <c r="I145" s="576" t="s">
        <v>96</v>
      </c>
      <c r="J145" s="528">
        <f>SUM(J135)</f>
        <v>1.88</v>
      </c>
      <c r="K145" s="395">
        <f>SUM(H145*J145)+0.04</f>
        <v>199.77119999999996</v>
      </c>
    </row>
    <row r="146" spans="1:11">
      <c r="A146" t="s">
        <v>442</v>
      </c>
      <c r="B146" s="385" t="s">
        <v>95</v>
      </c>
      <c r="C146" s="1331" t="s">
        <v>94</v>
      </c>
      <c r="D146" s="1332"/>
      <c r="E146" s="1332"/>
      <c r="F146" s="1332"/>
      <c r="G146" s="1333"/>
      <c r="H146" s="205">
        <f>1.29+5.09</f>
        <v>6.38</v>
      </c>
      <c r="I146" s="576" t="s">
        <v>92</v>
      </c>
      <c r="J146" s="528">
        <v>511.98</v>
      </c>
      <c r="K146" s="395">
        <f>ROUND(H146*J146,2)</f>
        <v>3266.43</v>
      </c>
    </row>
    <row r="147" spans="1:11">
      <c r="A147" t="s">
        <v>443</v>
      </c>
      <c r="B147" s="577" t="s">
        <v>97</v>
      </c>
      <c r="C147" s="1291" t="s">
        <v>370</v>
      </c>
      <c r="D147" s="1292"/>
      <c r="E147" s="1292"/>
      <c r="F147" s="1292"/>
      <c r="G147" s="1334"/>
      <c r="H147" s="300">
        <f>41.18+84.82</f>
        <v>126</v>
      </c>
      <c r="I147" s="576" t="s">
        <v>96</v>
      </c>
      <c r="J147" s="528">
        <v>14.07</v>
      </c>
      <c r="K147" s="515">
        <f>H147*J147</f>
        <v>1772.82</v>
      </c>
    </row>
    <row r="148" spans="1:11">
      <c r="B148" s="380">
        <v>8</v>
      </c>
      <c r="C148" s="1322" t="s">
        <v>116</v>
      </c>
      <c r="D148" s="1322"/>
      <c r="E148" s="1322"/>
      <c r="F148" s="1322"/>
      <c r="G148" s="1322"/>
      <c r="H148" s="182"/>
      <c r="I148" s="189"/>
      <c r="J148" s="537"/>
      <c r="K148" s="384">
        <f>K149</f>
        <v>1319.32</v>
      </c>
    </row>
    <row r="149" spans="1:11">
      <c r="A149" t="s">
        <v>444</v>
      </c>
      <c r="B149" s="397" t="s">
        <v>335</v>
      </c>
      <c r="C149" s="1313" t="s">
        <v>336</v>
      </c>
      <c r="D149" s="1314"/>
      <c r="E149" s="1314"/>
      <c r="F149" s="1314"/>
      <c r="G149" s="1315"/>
      <c r="H149" s="201">
        <v>1</v>
      </c>
      <c r="I149" s="186" t="s">
        <v>80</v>
      </c>
      <c r="J149" s="538">
        <v>1319.32</v>
      </c>
      <c r="K149" s="390">
        <f>ROUND(H149*J149,2)</f>
        <v>1319.32</v>
      </c>
    </row>
    <row r="150" spans="1:11">
      <c r="B150" s="439">
        <v>11</v>
      </c>
      <c r="C150" s="1310" t="s">
        <v>195</v>
      </c>
      <c r="D150" s="1311"/>
      <c r="E150" s="1311"/>
      <c r="F150" s="1311"/>
      <c r="G150" s="1312"/>
      <c r="H150" s="182"/>
      <c r="I150" s="189"/>
      <c r="J150" s="259"/>
      <c r="K150" s="384">
        <f>SUM(K151:K152)</f>
        <v>6199.1100000000006</v>
      </c>
    </row>
    <row r="151" spans="1:11">
      <c r="A151" t="s">
        <v>445</v>
      </c>
      <c r="B151" s="397" t="s">
        <v>343</v>
      </c>
      <c r="C151" s="1313" t="s">
        <v>344</v>
      </c>
      <c r="D151" s="1314"/>
      <c r="E151" s="1314"/>
      <c r="F151" s="1314"/>
      <c r="G151" s="1315"/>
      <c r="H151" s="201">
        <f>6+3</f>
        <v>9</v>
      </c>
      <c r="I151" s="186" t="s">
        <v>96</v>
      </c>
      <c r="J151" s="520">
        <v>629.51</v>
      </c>
      <c r="K151" s="390">
        <f>ROUND(H151*J151,2)</f>
        <v>5665.59</v>
      </c>
    </row>
    <row r="152" spans="1:11">
      <c r="A152" t="s">
        <v>446</v>
      </c>
      <c r="B152" s="412" t="s">
        <v>368</v>
      </c>
      <c r="C152" s="1313" t="s">
        <v>369</v>
      </c>
      <c r="D152" s="1314"/>
      <c r="E152" s="1314"/>
      <c r="F152" s="1314"/>
      <c r="G152" s="1315"/>
      <c r="H152" s="201">
        <v>18</v>
      </c>
      <c r="I152" s="186" t="s">
        <v>96</v>
      </c>
      <c r="J152" s="519">
        <v>29.64</v>
      </c>
      <c r="K152" s="390">
        <f>H152*J152</f>
        <v>533.52</v>
      </c>
    </row>
    <row r="153" spans="1:11">
      <c r="B153" s="417"/>
      <c r="C153" s="1316" t="s">
        <v>348</v>
      </c>
      <c r="D153" s="1317"/>
      <c r="E153" s="1317"/>
      <c r="F153" s="1317"/>
      <c r="G153" s="1318"/>
      <c r="H153" s="182"/>
      <c r="I153" s="189"/>
      <c r="J153" s="517"/>
      <c r="K153" s="384">
        <f>SUM(K154+K160+K167+K170)-2</f>
        <v>27217.011200000001</v>
      </c>
    </row>
    <row r="154" spans="1:11">
      <c r="B154" s="380">
        <v>1</v>
      </c>
      <c r="C154" s="1301" t="s">
        <v>91</v>
      </c>
      <c r="D154" s="1302"/>
      <c r="E154" s="1302"/>
      <c r="F154" s="1302"/>
      <c r="G154" s="1303"/>
      <c r="H154" s="221"/>
      <c r="I154" s="222"/>
      <c r="J154" s="518"/>
      <c r="K154" s="419">
        <f>SUM(K155:K159)-0.01</f>
        <v>6486.1011999999992</v>
      </c>
    </row>
    <row r="155" spans="1:11">
      <c r="A155" t="s">
        <v>447</v>
      </c>
      <c r="B155" s="397" t="s">
        <v>37</v>
      </c>
      <c r="C155" s="1313" t="s">
        <v>85</v>
      </c>
      <c r="D155" s="1314"/>
      <c r="E155" s="1314"/>
      <c r="F155" s="1314"/>
      <c r="G155" s="1315"/>
      <c r="H155" s="201">
        <f>1.8+1.46+1.18</f>
        <v>4.4399999999999995</v>
      </c>
      <c r="I155" s="186" t="s">
        <v>92</v>
      </c>
      <c r="J155" s="539">
        <v>36.57</v>
      </c>
      <c r="K155" s="390">
        <f>H155*J155</f>
        <v>162.37079999999997</v>
      </c>
    </row>
    <row r="156" spans="1:11">
      <c r="A156" t="s">
        <v>448</v>
      </c>
      <c r="B156" s="397" t="s">
        <v>39</v>
      </c>
      <c r="C156" s="1319" t="s">
        <v>49</v>
      </c>
      <c r="D156" s="1320"/>
      <c r="E156" s="1320"/>
      <c r="F156" s="1320"/>
      <c r="G156" s="1321"/>
      <c r="H156" s="201">
        <f>32+36</f>
        <v>68</v>
      </c>
      <c r="I156" s="186" t="s">
        <v>52</v>
      </c>
      <c r="J156" s="539">
        <v>39.82</v>
      </c>
      <c r="K156" s="390">
        <f>H156*J156</f>
        <v>2707.76</v>
      </c>
    </row>
    <row r="157" spans="1:11">
      <c r="A157" t="s">
        <v>449</v>
      </c>
      <c r="B157" s="397" t="s">
        <v>345</v>
      </c>
      <c r="C157" s="242" t="s">
        <v>87</v>
      </c>
      <c r="D157" s="573"/>
      <c r="E157" s="573"/>
      <c r="F157" s="573"/>
      <c r="G157" s="574"/>
      <c r="H157" s="201">
        <f>162+131.4+106.2</f>
        <v>399.59999999999997</v>
      </c>
      <c r="I157" s="186" t="s">
        <v>50</v>
      </c>
      <c r="J157" s="539">
        <v>4.99</v>
      </c>
      <c r="K157" s="390">
        <f>H157*J157</f>
        <v>1994.0039999999999</v>
      </c>
    </row>
    <row r="158" spans="1:11">
      <c r="A158" t="s">
        <v>450</v>
      </c>
      <c r="B158" s="397" t="s">
        <v>347</v>
      </c>
      <c r="C158" s="243" t="s">
        <v>89</v>
      </c>
      <c r="D158" s="573"/>
      <c r="E158" s="573"/>
      <c r="F158" s="573"/>
      <c r="G158" s="574"/>
      <c r="H158" s="201">
        <f>1.8+1.46+1.18</f>
        <v>4.4399999999999995</v>
      </c>
      <c r="I158" s="186" t="s">
        <v>92</v>
      </c>
      <c r="J158" s="539">
        <v>262.63</v>
      </c>
      <c r="K158" s="390">
        <f>H158*J158</f>
        <v>1166.0771999999999</v>
      </c>
    </row>
    <row r="159" spans="1:11">
      <c r="A159" t="s">
        <v>451</v>
      </c>
      <c r="B159" s="397" t="s">
        <v>349</v>
      </c>
      <c r="C159" s="242" t="s">
        <v>90</v>
      </c>
      <c r="D159" s="573"/>
      <c r="E159" s="573"/>
      <c r="F159" s="573"/>
      <c r="G159" s="574"/>
      <c r="H159" s="201">
        <f>1.8+1.46+1.18</f>
        <v>4.4399999999999995</v>
      </c>
      <c r="I159" s="186" t="s">
        <v>92</v>
      </c>
      <c r="J159" s="539">
        <v>102.68</v>
      </c>
      <c r="K159" s="390">
        <f>H159*J159</f>
        <v>455.89920000000001</v>
      </c>
    </row>
    <row r="160" spans="1:11">
      <c r="B160" s="380">
        <v>2</v>
      </c>
      <c r="C160" s="1301" t="s">
        <v>351</v>
      </c>
      <c r="D160" s="1302"/>
      <c r="E160" s="1302"/>
      <c r="F160" s="1302"/>
      <c r="G160" s="1303"/>
      <c r="H160" s="221"/>
      <c r="I160" s="222"/>
      <c r="J160" s="518"/>
      <c r="K160" s="419">
        <f>SUM(K161:K166)</f>
        <v>11627.8</v>
      </c>
    </row>
    <row r="161" spans="1:11">
      <c r="A161" t="s">
        <v>452</v>
      </c>
      <c r="B161" s="397" t="s">
        <v>84</v>
      </c>
      <c r="C161" s="1313" t="s">
        <v>352</v>
      </c>
      <c r="D161" s="1314"/>
      <c r="E161" s="1314"/>
      <c r="F161" s="1314"/>
      <c r="G161" s="1315"/>
      <c r="H161" s="244">
        <v>0.45</v>
      </c>
      <c r="I161" s="202" t="s">
        <v>92</v>
      </c>
      <c r="J161" s="539">
        <v>48.76</v>
      </c>
      <c r="K161" s="390">
        <f t="shared" ref="K161:K166" si="10">ROUND(H161*J161,2)</f>
        <v>21.94</v>
      </c>
    </row>
    <row r="162" spans="1:11">
      <c r="A162" t="s">
        <v>453</v>
      </c>
      <c r="B162" s="397" t="s">
        <v>43</v>
      </c>
      <c r="C162" s="575" t="s">
        <v>353</v>
      </c>
      <c r="D162" s="573"/>
      <c r="E162" s="573"/>
      <c r="F162" s="573"/>
      <c r="G162" s="574"/>
      <c r="H162" s="201">
        <f>60-6+48.54+39.46</f>
        <v>142</v>
      </c>
      <c r="I162" s="186" t="s">
        <v>96</v>
      </c>
      <c r="J162" s="539">
        <v>40.9</v>
      </c>
      <c r="K162" s="390">
        <f t="shared" si="10"/>
        <v>5807.8</v>
      </c>
    </row>
    <row r="163" spans="1:11">
      <c r="A163" t="s">
        <v>450</v>
      </c>
      <c r="B163" s="397" t="s">
        <v>240</v>
      </c>
      <c r="C163" s="575" t="s">
        <v>89</v>
      </c>
      <c r="D163" s="573"/>
      <c r="E163" s="573"/>
      <c r="F163" s="573"/>
      <c r="G163" s="574"/>
      <c r="H163" s="201">
        <f>0.72+0.81</f>
        <v>1.53</v>
      </c>
      <c r="I163" s="186" t="s">
        <v>92</v>
      </c>
      <c r="J163" s="539">
        <v>262.63</v>
      </c>
      <c r="K163" s="390">
        <f t="shared" si="10"/>
        <v>401.82</v>
      </c>
    </row>
    <row r="164" spans="1:11">
      <c r="A164" t="s">
        <v>449</v>
      </c>
      <c r="B164" s="397" t="s">
        <v>45</v>
      </c>
      <c r="C164" s="575" t="s">
        <v>354</v>
      </c>
      <c r="D164" s="573"/>
      <c r="E164" s="573"/>
      <c r="F164" s="573"/>
      <c r="G164" s="574"/>
      <c r="H164" s="201">
        <f>64.8+72.9</f>
        <v>137.69999999999999</v>
      </c>
      <c r="I164" s="186" t="s">
        <v>50</v>
      </c>
      <c r="J164" s="539">
        <v>4.99</v>
      </c>
      <c r="K164" s="390">
        <f t="shared" si="10"/>
        <v>687.12</v>
      </c>
    </row>
    <row r="165" spans="1:11">
      <c r="A165" t="s">
        <v>454</v>
      </c>
      <c r="B165" s="397" t="s">
        <v>47</v>
      </c>
      <c r="C165" s="575" t="s">
        <v>321</v>
      </c>
      <c r="D165" s="573"/>
      <c r="E165" s="573"/>
      <c r="F165" s="573"/>
      <c r="G165" s="574"/>
      <c r="H165" s="201">
        <f>0.72+0.81</f>
        <v>1.53</v>
      </c>
      <c r="I165" s="186" t="s">
        <v>92</v>
      </c>
      <c r="J165" s="539">
        <v>70.92</v>
      </c>
      <c r="K165" s="390">
        <f t="shared" si="10"/>
        <v>108.51</v>
      </c>
    </row>
    <row r="166" spans="1:11">
      <c r="A166" t="s">
        <v>455</v>
      </c>
      <c r="B166" s="397" t="s">
        <v>48</v>
      </c>
      <c r="C166" s="575" t="s">
        <v>323</v>
      </c>
      <c r="D166" s="573"/>
      <c r="E166" s="573"/>
      <c r="F166" s="573"/>
      <c r="G166" s="574"/>
      <c r="H166" s="201">
        <f>19.2+21.6</f>
        <v>40.799999999999997</v>
      </c>
      <c r="I166" s="186" t="s">
        <v>96</v>
      </c>
      <c r="J166" s="539">
        <v>112.76</v>
      </c>
      <c r="K166" s="390">
        <f t="shared" si="10"/>
        <v>4600.6099999999997</v>
      </c>
    </row>
    <row r="167" spans="1:11">
      <c r="B167" s="380">
        <v>3</v>
      </c>
      <c r="C167" s="1301" t="s">
        <v>208</v>
      </c>
      <c r="D167" s="1302"/>
      <c r="E167" s="1302"/>
      <c r="F167" s="1302"/>
      <c r="G167" s="1303"/>
      <c r="H167" s="221"/>
      <c r="I167" s="222"/>
      <c r="J167" s="518"/>
      <c r="K167" s="419">
        <f>SUM(K168:K169)</f>
        <v>4169.2299999999996</v>
      </c>
    </row>
    <row r="168" spans="1:11">
      <c r="A168" t="s">
        <v>456</v>
      </c>
      <c r="B168" s="397" t="s">
        <v>54</v>
      </c>
      <c r="C168" s="575" t="s">
        <v>65</v>
      </c>
      <c r="D168" s="573"/>
      <c r="E168" s="573"/>
      <c r="F168" s="573"/>
      <c r="G168" s="574"/>
      <c r="H168" s="201">
        <v>284</v>
      </c>
      <c r="I168" s="186" t="s">
        <v>96</v>
      </c>
      <c r="J168" s="539">
        <v>4.22</v>
      </c>
      <c r="K168" s="390">
        <f>ROUND(H168*J168,2)</f>
        <v>1198.48</v>
      </c>
    </row>
    <row r="169" spans="1:11">
      <c r="A169" t="s">
        <v>457</v>
      </c>
      <c r="B169" s="397" t="s">
        <v>95</v>
      </c>
      <c r="C169" s="575" t="s">
        <v>66</v>
      </c>
      <c r="D169" s="573"/>
      <c r="E169" s="573"/>
      <c r="F169" s="573"/>
      <c r="G169" s="574"/>
      <c r="H169" s="201">
        <v>284</v>
      </c>
      <c r="I169" s="186" t="s">
        <v>96</v>
      </c>
      <c r="J169" s="539">
        <v>12.82</v>
      </c>
      <c r="K169" s="390">
        <v>2970.75</v>
      </c>
    </row>
    <row r="170" spans="1:11">
      <c r="B170" s="380">
        <v>4</v>
      </c>
      <c r="C170" s="1301" t="s">
        <v>350</v>
      </c>
      <c r="D170" s="1302"/>
      <c r="E170" s="1302"/>
      <c r="F170" s="1302"/>
      <c r="G170" s="1303"/>
      <c r="H170" s="221"/>
      <c r="I170" s="222"/>
      <c r="J170" s="518"/>
      <c r="K170" s="419">
        <f>K171</f>
        <v>4935.88</v>
      </c>
    </row>
    <row r="171" spans="1:11">
      <c r="A171" t="s">
        <v>458</v>
      </c>
      <c r="B171" s="397" t="s">
        <v>58</v>
      </c>
      <c r="C171" s="575" t="s">
        <v>193</v>
      </c>
      <c r="D171" s="573"/>
      <c r="E171" s="573"/>
      <c r="F171" s="573"/>
      <c r="G171" s="574"/>
      <c r="H171" s="201">
        <v>284</v>
      </c>
      <c r="I171" s="186" t="s">
        <v>96</v>
      </c>
      <c r="J171" s="520">
        <v>17.38</v>
      </c>
      <c r="K171" s="390">
        <f>SUM(H171*J171)-0.04</f>
        <v>4935.88</v>
      </c>
    </row>
    <row r="172" spans="1:11">
      <c r="B172" s="397"/>
      <c r="C172" s="543"/>
      <c r="D172" s="573"/>
      <c r="E172" s="573"/>
      <c r="F172" s="573"/>
      <c r="G172" s="574"/>
      <c r="H172" s="201"/>
      <c r="I172" s="186"/>
      <c r="J172" s="520"/>
      <c r="K172" s="531"/>
    </row>
    <row r="173" spans="1:11">
      <c r="B173" s="1548" t="s">
        <v>21</v>
      </c>
      <c r="C173" s="1549"/>
      <c r="D173" s="1550"/>
      <c r="E173" s="1550"/>
      <c r="F173" s="1550"/>
      <c r="G173" s="1550"/>
      <c r="H173" s="1550"/>
      <c r="I173" s="1550"/>
      <c r="J173" s="570"/>
      <c r="K173" s="571">
        <f>SUM(K132+K143+K153)</f>
        <v>65394.135399999999</v>
      </c>
    </row>
  </sheetData>
  <mergeCells count="130">
    <mergeCell ref="C126:G126"/>
    <mergeCell ref="C127:G127"/>
    <mergeCell ref="B128:I128"/>
    <mergeCell ref="B129:I129"/>
    <mergeCell ref="B130:I130"/>
    <mergeCell ref="C120:G120"/>
    <mergeCell ref="C121:G121"/>
    <mergeCell ref="C122:G122"/>
    <mergeCell ref="C123:G123"/>
    <mergeCell ref="C124:G124"/>
    <mergeCell ref="C125:G125"/>
    <mergeCell ref="C110:G110"/>
    <mergeCell ref="C113:G113"/>
    <mergeCell ref="C114:G114"/>
    <mergeCell ref="C116:G116"/>
    <mergeCell ref="C117:G117"/>
    <mergeCell ref="C118:G118"/>
    <mergeCell ref="C104:G104"/>
    <mergeCell ref="C105:G105"/>
    <mergeCell ref="C106:G106"/>
    <mergeCell ref="C107:G107"/>
    <mergeCell ref="C108:G108"/>
    <mergeCell ref="C109:G109"/>
    <mergeCell ref="C98:G98"/>
    <mergeCell ref="C99:G99"/>
    <mergeCell ref="C100:G100"/>
    <mergeCell ref="C101:G101"/>
    <mergeCell ref="C102:G102"/>
    <mergeCell ref="C103:G103"/>
    <mergeCell ref="C91:G91"/>
    <mergeCell ref="C93:G93"/>
    <mergeCell ref="C94:G94"/>
    <mergeCell ref="C95:G95"/>
    <mergeCell ref="C96:G96"/>
    <mergeCell ref="C97:G97"/>
    <mergeCell ref="C85:G85"/>
    <mergeCell ref="C86:G86"/>
    <mergeCell ref="C87:G87"/>
    <mergeCell ref="C88:G88"/>
    <mergeCell ref="C89:G89"/>
    <mergeCell ref="C90:G90"/>
    <mergeCell ref="C79:G79"/>
    <mergeCell ref="C80:G80"/>
    <mergeCell ref="C81:G81"/>
    <mergeCell ref="C82:G82"/>
    <mergeCell ref="C83:G83"/>
    <mergeCell ref="C84:G84"/>
    <mergeCell ref="C70:G70"/>
    <mergeCell ref="C73:G73"/>
    <mergeCell ref="C74:G74"/>
    <mergeCell ref="C75:G75"/>
    <mergeCell ref="C76:G76"/>
    <mergeCell ref="C78:G78"/>
    <mergeCell ref="C59:G59"/>
    <mergeCell ref="C61:G61"/>
    <mergeCell ref="C62:G62"/>
    <mergeCell ref="C64:G64"/>
    <mergeCell ref="C67:G67"/>
    <mergeCell ref="C69:G69"/>
    <mergeCell ref="C52:G52"/>
    <mergeCell ref="C53:G53"/>
    <mergeCell ref="C54:G54"/>
    <mergeCell ref="C56:G56"/>
    <mergeCell ref="C57:G57"/>
    <mergeCell ref="C58:G58"/>
    <mergeCell ref="C40:G40"/>
    <mergeCell ref="C41:G41"/>
    <mergeCell ref="C42:G42"/>
    <mergeCell ref="C44:G44"/>
    <mergeCell ref="C45:G45"/>
    <mergeCell ref="C46:G46"/>
    <mergeCell ref="C30:G30"/>
    <mergeCell ref="C31:G31"/>
    <mergeCell ref="C32:G32"/>
    <mergeCell ref="C33:G33"/>
    <mergeCell ref="C35:G35"/>
    <mergeCell ref="C36:G36"/>
    <mergeCell ref="C22:G22"/>
    <mergeCell ref="C23:G23"/>
    <mergeCell ref="C24:G24"/>
    <mergeCell ref="C25:G25"/>
    <mergeCell ref="C26:G26"/>
    <mergeCell ref="C27:G27"/>
    <mergeCell ref="C19:G19"/>
    <mergeCell ref="C20:G20"/>
    <mergeCell ref="C21:G21"/>
    <mergeCell ref="C9:G9"/>
    <mergeCell ref="C10:G10"/>
    <mergeCell ref="C11:G11"/>
    <mergeCell ref="C12:G12"/>
    <mergeCell ref="C13:G13"/>
    <mergeCell ref="C15:G15"/>
    <mergeCell ref="B3:B4"/>
    <mergeCell ref="C3:G4"/>
    <mergeCell ref="C5:G5"/>
    <mergeCell ref="C6:G6"/>
    <mergeCell ref="C7:G7"/>
    <mergeCell ref="C8:G8"/>
    <mergeCell ref="C16:G16"/>
    <mergeCell ref="C17:G17"/>
    <mergeCell ref="C18:G18"/>
    <mergeCell ref="C132:G132"/>
    <mergeCell ref="C133:G133"/>
    <mergeCell ref="C134:G134"/>
    <mergeCell ref="C135:G135"/>
    <mergeCell ref="C136:G136"/>
    <mergeCell ref="C137:G137"/>
    <mergeCell ref="C138:G138"/>
    <mergeCell ref="C139:G139"/>
    <mergeCell ref="C140:G140"/>
    <mergeCell ref="C141:G141"/>
    <mergeCell ref="C143:G143"/>
    <mergeCell ref="C144:G144"/>
    <mergeCell ref="C145:G145"/>
    <mergeCell ref="C146:G146"/>
    <mergeCell ref="C147:G147"/>
    <mergeCell ref="C148:G148"/>
    <mergeCell ref="C149:G149"/>
    <mergeCell ref="C150:G150"/>
    <mergeCell ref="C170:G170"/>
    <mergeCell ref="B173:I173"/>
    <mergeCell ref="C151:G151"/>
    <mergeCell ref="C152:G152"/>
    <mergeCell ref="C153:G153"/>
    <mergeCell ref="C154:G154"/>
    <mergeCell ref="C155:G155"/>
    <mergeCell ref="C156:G156"/>
    <mergeCell ref="C160:G160"/>
    <mergeCell ref="C161:G161"/>
    <mergeCell ref="C167:G167"/>
  </mergeCells>
  <pageMargins left="0.511811024" right="0.511811024" top="0.78740157499999996" bottom="0.78740157499999996" header="0.31496062000000002" footer="0.31496062000000002"/>
  <legacyDrawing r:id="rId1"/>
</worksheet>
</file>

<file path=xl/worksheets/sheet3.xml><?xml version="1.0" encoding="utf-8"?>
<worksheet xmlns="http://schemas.openxmlformats.org/spreadsheetml/2006/main" xmlns:r="http://schemas.openxmlformats.org/officeDocument/2006/relationships">
  <dimension ref="A1:Y472"/>
  <sheetViews>
    <sheetView view="pageBreakPreview" topLeftCell="A337" zoomScaleNormal="110" zoomScaleSheetLayoutView="100" workbookViewId="0">
      <selection activeCell="J349" sqref="J349"/>
    </sheetView>
  </sheetViews>
  <sheetFormatPr defaultRowHeight="15"/>
  <cols>
    <col min="1" max="1" width="5.85546875" style="309" customWidth="1"/>
    <col min="2" max="2" width="10.5703125" style="309" customWidth="1"/>
    <col min="3" max="3" width="17" style="309" customWidth="1"/>
    <col min="4" max="4" width="8.85546875" style="309"/>
    <col min="5" max="5" width="15" style="309" customWidth="1"/>
    <col min="6" max="6" width="7.7109375" style="309" customWidth="1"/>
    <col min="7" max="7" width="11.85546875" style="57" customWidth="1"/>
    <col min="8" max="8" width="10.42578125" style="57" customWidth="1"/>
    <col min="9" max="9" width="13.85546875" style="625" customWidth="1"/>
    <col min="10" max="10" width="13.28515625" style="309" customWidth="1"/>
    <col min="11" max="11" width="23.42578125" style="602" customWidth="1"/>
    <col min="12" max="12" width="15.7109375" style="786" customWidth="1"/>
    <col min="13" max="13" width="14.5703125" customWidth="1"/>
    <col min="14" max="14" width="12.5703125" bestFit="1" customWidth="1"/>
    <col min="15" max="15" width="10.5703125" customWidth="1"/>
  </cols>
  <sheetData>
    <row r="1" spans="1:25" ht="8.4499999999999993" customHeight="1"/>
    <row r="2" spans="1:25" s="545" customFormat="1" ht="22.15" customHeight="1">
      <c r="A2" s="544"/>
      <c r="D2" s="546"/>
      <c r="E2" s="546"/>
      <c r="F2" s="546"/>
      <c r="G2" s="546"/>
      <c r="H2" s="546"/>
      <c r="I2" s="626"/>
      <c r="J2" s="547" t="s">
        <v>428</v>
      </c>
      <c r="K2" s="603"/>
      <c r="L2" s="787"/>
      <c r="M2" s="546"/>
      <c r="N2" s="546"/>
      <c r="O2" s="546"/>
      <c r="P2" s="546"/>
      <c r="Q2" s="546"/>
      <c r="R2" s="546"/>
      <c r="S2" s="546"/>
      <c r="T2" s="546"/>
      <c r="U2" s="546"/>
      <c r="V2" s="546"/>
      <c r="W2" s="546"/>
      <c r="X2" s="546"/>
      <c r="Y2" s="546"/>
    </row>
    <row r="3" spans="1:25" s="545" customFormat="1" ht="22.15" customHeight="1">
      <c r="A3" s="544"/>
      <c r="D3" s="546"/>
      <c r="E3" s="546"/>
      <c r="F3" s="546"/>
      <c r="G3" s="546"/>
      <c r="H3" s="546"/>
      <c r="I3" s="626"/>
      <c r="J3" s="547" t="s">
        <v>429</v>
      </c>
      <c r="K3" s="603"/>
      <c r="L3" s="787"/>
      <c r="M3" s="546"/>
      <c r="N3" s="546"/>
      <c r="O3" s="546"/>
      <c r="P3" s="546"/>
      <c r="Q3" s="546"/>
      <c r="R3" s="546"/>
      <c r="S3" s="546"/>
      <c r="T3" s="546"/>
      <c r="U3" s="546"/>
      <c r="V3" s="546"/>
      <c r="W3" s="546"/>
      <c r="X3" s="546"/>
      <c r="Y3" s="546"/>
    </row>
    <row r="4" spans="1:25" s="545" customFormat="1" ht="22.15" customHeight="1">
      <c r="A4" s="544"/>
      <c r="D4" s="546"/>
      <c r="E4" s="546"/>
      <c r="F4" s="546"/>
      <c r="G4" s="546"/>
      <c r="H4" s="546"/>
      <c r="I4" s="626"/>
      <c r="J4" s="547" t="s">
        <v>430</v>
      </c>
      <c r="K4" s="603"/>
      <c r="L4" s="787"/>
      <c r="M4" s="546"/>
      <c r="N4" s="546"/>
      <c r="O4" s="546"/>
      <c r="P4" s="546"/>
      <c r="Q4" s="546"/>
      <c r="R4" s="546"/>
      <c r="S4" s="546"/>
      <c r="T4" s="546"/>
      <c r="U4" s="546"/>
      <c r="V4" s="546"/>
      <c r="W4" s="546"/>
      <c r="X4" s="546"/>
      <c r="Y4" s="546"/>
    </row>
    <row r="5" spans="1:25" s="545" customFormat="1" ht="18" customHeight="1">
      <c r="A5" s="544"/>
      <c r="D5" s="546"/>
      <c r="E5" s="546"/>
      <c r="F5" s="546"/>
      <c r="G5" s="546"/>
      <c r="H5" s="546"/>
      <c r="I5" s="626"/>
      <c r="J5" s="548"/>
      <c r="K5" s="604"/>
      <c r="L5" s="787"/>
      <c r="M5" s="546"/>
      <c r="N5" s="546"/>
      <c r="O5" s="546"/>
      <c r="P5" s="546"/>
      <c r="Q5" s="546"/>
      <c r="R5" s="546"/>
      <c r="S5" s="546"/>
      <c r="T5" s="546"/>
      <c r="U5" s="546"/>
      <c r="V5" s="546"/>
      <c r="W5" s="546"/>
      <c r="X5" s="546"/>
      <c r="Y5" s="546"/>
    </row>
    <row r="6" spans="1:25" s="545" customFormat="1" ht="10.9" customHeight="1" thickBot="1">
      <c r="A6" s="544"/>
      <c r="D6" s="546"/>
      <c r="E6" s="546"/>
      <c r="F6" s="546"/>
      <c r="G6" s="546"/>
      <c r="H6" s="546"/>
      <c r="I6" s="626"/>
      <c r="J6" s="548"/>
      <c r="K6" s="604"/>
      <c r="L6" s="787"/>
      <c r="M6" s="546"/>
      <c r="N6" s="546"/>
      <c r="O6" s="546"/>
      <c r="P6" s="546"/>
      <c r="Q6" s="546"/>
      <c r="R6" s="546"/>
      <c r="S6" s="546"/>
      <c r="T6" s="546"/>
      <c r="U6" s="546"/>
      <c r="V6" s="546"/>
      <c r="W6" s="546"/>
      <c r="X6" s="546"/>
      <c r="Y6" s="546"/>
    </row>
    <row r="7" spans="1:25" s="11" customFormat="1" ht="9.75" customHeight="1" thickTop="1">
      <c r="A7" s="345"/>
      <c r="B7" s="346"/>
      <c r="C7" s="346"/>
      <c r="D7" s="346"/>
      <c r="E7" s="346"/>
      <c r="F7" s="346"/>
      <c r="G7" s="347"/>
      <c r="H7" s="347"/>
      <c r="I7" s="627"/>
      <c r="J7" s="349"/>
      <c r="K7" s="605"/>
      <c r="L7" s="788"/>
    </row>
    <row r="8" spans="1:25" s="11" customFormat="1">
      <c r="A8" s="1377" t="s">
        <v>213</v>
      </c>
      <c r="B8" s="1378"/>
      <c r="C8" s="1378"/>
      <c r="D8" s="1378"/>
      <c r="E8" s="1378"/>
      <c r="F8" s="1378"/>
      <c r="G8" s="1378"/>
      <c r="H8" s="1378"/>
      <c r="I8" s="1378"/>
      <c r="J8" s="1379"/>
      <c r="K8" s="503" t="s">
        <v>524</v>
      </c>
      <c r="L8" s="788"/>
    </row>
    <row r="9" spans="1:25" s="11" customFormat="1" ht="20.25" customHeight="1">
      <c r="A9" s="1307" t="s">
        <v>308</v>
      </c>
      <c r="B9" s="1308"/>
      <c r="C9" s="1308"/>
      <c r="D9" s="1308"/>
      <c r="E9" s="1308"/>
      <c r="F9" s="1308"/>
      <c r="G9" s="1308"/>
      <c r="H9" s="1308"/>
      <c r="I9" s="1308"/>
      <c r="J9" s="1309"/>
      <c r="K9" s="501" t="s">
        <v>524</v>
      </c>
      <c r="L9" s="788"/>
    </row>
    <row r="10" spans="1:25" s="11" customFormat="1" ht="12" customHeight="1">
      <c r="A10" s="1307"/>
      <c r="B10" s="1308"/>
      <c r="C10" s="1308"/>
      <c r="D10" s="1308"/>
      <c r="E10" s="1308"/>
      <c r="F10" s="1308"/>
      <c r="G10" s="1308"/>
      <c r="H10" s="1308"/>
      <c r="I10" s="1308"/>
      <c r="J10" s="1309"/>
      <c r="K10" s="501" t="s">
        <v>524</v>
      </c>
      <c r="L10" s="788"/>
    </row>
    <row r="11" spans="1:25" s="11" customFormat="1" ht="11.25" customHeight="1">
      <c r="A11" s="1307"/>
      <c r="B11" s="1308"/>
      <c r="C11" s="1308"/>
      <c r="D11" s="1308"/>
      <c r="E11" s="1308"/>
      <c r="F11" s="1308"/>
      <c r="G11" s="1308"/>
      <c r="H11" s="1308"/>
      <c r="I11" s="1308"/>
      <c r="J11" s="1309"/>
      <c r="K11" s="501" t="s">
        <v>524</v>
      </c>
      <c r="L11" s="788"/>
    </row>
    <row r="12" spans="1:25" s="11" customFormat="1" ht="17.25" customHeight="1">
      <c r="A12" s="1377" t="s">
        <v>214</v>
      </c>
      <c r="B12" s="1378"/>
      <c r="C12" s="1378"/>
      <c r="D12" s="1378"/>
      <c r="E12" s="1378"/>
      <c r="F12" s="1378"/>
      <c r="G12" s="1378"/>
      <c r="H12" s="1378"/>
      <c r="I12" s="1378"/>
      <c r="J12" s="1379"/>
      <c r="K12" s="503" t="s">
        <v>524</v>
      </c>
      <c r="L12" s="788"/>
    </row>
    <row r="13" spans="1:25" s="11" customFormat="1" ht="12.75" customHeight="1">
      <c r="A13" s="1377" t="s">
        <v>310</v>
      </c>
      <c r="B13" s="1378"/>
      <c r="C13" s="1378"/>
      <c r="D13" s="1378"/>
      <c r="E13" s="1378"/>
      <c r="F13" s="1378"/>
      <c r="G13" s="1378"/>
      <c r="H13" s="1378"/>
      <c r="I13" s="1378"/>
      <c r="J13" s="1379"/>
      <c r="K13" s="503" t="s">
        <v>524</v>
      </c>
      <c r="L13" s="788"/>
    </row>
    <row r="14" spans="1:25" s="11" customFormat="1" ht="16.5" customHeight="1">
      <c r="A14" s="1377" t="s">
        <v>215</v>
      </c>
      <c r="B14" s="1378"/>
      <c r="C14" s="1378"/>
      <c r="D14" s="1378"/>
      <c r="E14" s="1378"/>
      <c r="F14" s="1378"/>
      <c r="G14" s="1378"/>
      <c r="H14" s="1378"/>
      <c r="I14" s="1378"/>
      <c r="J14" s="1379"/>
      <c r="K14" s="503" t="s">
        <v>524</v>
      </c>
      <c r="L14" s="788"/>
    </row>
    <row r="15" spans="1:25" s="11" customFormat="1">
      <c r="A15" s="1377" t="s">
        <v>309</v>
      </c>
      <c r="B15" s="1378"/>
      <c r="C15" s="1378"/>
      <c r="D15" s="1378"/>
      <c r="E15" s="1378"/>
      <c r="F15" s="1378"/>
      <c r="G15" s="1378"/>
      <c r="H15" s="1378"/>
      <c r="I15" s="1378"/>
      <c r="J15" s="1379"/>
      <c r="K15" s="503" t="s">
        <v>524</v>
      </c>
      <c r="L15" s="788"/>
    </row>
    <row r="16" spans="1:25" s="11" customFormat="1" ht="11.25" customHeight="1">
      <c r="A16" s="350"/>
      <c r="B16" s="286"/>
      <c r="C16" s="286"/>
      <c r="D16" s="286"/>
      <c r="E16" s="286"/>
      <c r="F16" s="286"/>
      <c r="G16" s="175"/>
      <c r="H16" s="175"/>
      <c r="I16" s="628"/>
      <c r="J16" s="351"/>
      <c r="K16" s="605"/>
      <c r="L16" s="788"/>
    </row>
    <row r="17" spans="1:12" s="16" customFormat="1" ht="15" customHeight="1">
      <c r="A17" s="1628" t="s">
        <v>371</v>
      </c>
      <c r="B17" s="1629"/>
      <c r="C17" s="1629"/>
      <c r="D17" s="1629"/>
      <c r="E17" s="1629"/>
      <c r="F17" s="1629"/>
      <c r="G17" s="1629"/>
      <c r="H17" s="1629"/>
      <c r="I17" s="1629"/>
      <c r="J17" s="1702"/>
      <c r="K17" s="606"/>
      <c r="L17" s="789"/>
    </row>
    <row r="18" spans="1:12" s="16" customFormat="1" ht="15" customHeight="1">
      <c r="A18" s="1409" t="s">
        <v>216</v>
      </c>
      <c r="B18" s="1410"/>
      <c r="C18" s="1410"/>
      <c r="D18" s="1410"/>
      <c r="E18" s="1410"/>
      <c r="F18" s="1410"/>
      <c r="G18" s="1410"/>
      <c r="H18" s="1410"/>
      <c r="I18" s="1410"/>
      <c r="J18" s="1411"/>
      <c r="K18" s="607"/>
      <c r="L18" s="789"/>
    </row>
    <row r="19" spans="1:12" s="16" customFormat="1" ht="9.75" customHeight="1">
      <c r="A19" s="350"/>
      <c r="B19" s="286"/>
      <c r="C19" s="286"/>
      <c r="D19" s="286"/>
      <c r="E19" s="286"/>
      <c r="F19" s="286"/>
      <c r="G19" s="175"/>
      <c r="H19" s="175"/>
      <c r="I19" s="628"/>
      <c r="J19" s="351"/>
      <c r="K19" s="605"/>
      <c r="L19" s="789"/>
    </row>
    <row r="20" spans="1:12" s="16" customFormat="1" ht="15" customHeight="1">
      <c r="A20" s="1696" t="s">
        <v>0</v>
      </c>
      <c r="B20" s="1697"/>
      <c r="C20" s="1697"/>
      <c r="D20" s="1697"/>
      <c r="E20" s="1697"/>
      <c r="F20" s="1697"/>
      <c r="G20" s="1697"/>
      <c r="H20" s="1697"/>
      <c r="I20" s="1697"/>
      <c r="J20" s="1698"/>
      <c r="K20" s="606"/>
      <c r="L20" s="789"/>
    </row>
    <row r="21" spans="1:12" s="16" customFormat="1" ht="15" customHeight="1">
      <c r="A21" s="1399" t="s">
        <v>217</v>
      </c>
      <c r="B21" s="1295"/>
      <c r="C21" s="1295"/>
      <c r="D21" s="1295"/>
      <c r="E21" s="1295"/>
      <c r="F21" s="1295"/>
      <c r="G21" s="1295"/>
      <c r="H21" s="1295"/>
      <c r="I21" s="1295"/>
      <c r="J21" s="1296"/>
      <c r="K21" s="608"/>
      <c r="L21" s="789"/>
    </row>
    <row r="22" spans="1:12" s="16" customFormat="1" ht="15" customHeight="1">
      <c r="A22" s="1399" t="s">
        <v>218</v>
      </c>
      <c r="B22" s="1295"/>
      <c r="C22" s="1295"/>
      <c r="D22" s="1295" t="s">
        <v>219</v>
      </c>
      <c r="E22" s="1295"/>
      <c r="F22" s="1295"/>
      <c r="G22" s="1295"/>
      <c r="H22" s="1295"/>
      <c r="I22" s="1295" t="s">
        <v>220</v>
      </c>
      <c r="J22" s="1296"/>
      <c r="K22" s="608"/>
      <c r="L22" s="789"/>
    </row>
    <row r="23" spans="1:12" s="16" customFormat="1" ht="15" customHeight="1">
      <c r="A23" s="1399" t="s">
        <v>221</v>
      </c>
      <c r="B23" s="1295"/>
      <c r="C23" s="1295" t="s">
        <v>222</v>
      </c>
      <c r="D23" s="1295"/>
      <c r="E23" s="1295" t="s">
        <v>223</v>
      </c>
      <c r="F23" s="1295"/>
      <c r="G23" s="1295"/>
      <c r="H23" s="1291" t="s">
        <v>224</v>
      </c>
      <c r="I23" s="1292"/>
      <c r="J23" s="1293"/>
      <c r="K23" s="608"/>
      <c r="L23" s="789"/>
    </row>
    <row r="24" spans="1:12" s="16" customFormat="1" ht="10.5" customHeight="1">
      <c r="A24" s="350"/>
      <c r="B24" s="286"/>
      <c r="C24" s="286"/>
      <c r="D24" s="286"/>
      <c r="E24" s="286"/>
      <c r="F24" s="286"/>
      <c r="G24" s="175"/>
      <c r="H24" s="175"/>
      <c r="I24" s="628"/>
      <c r="J24" s="351"/>
      <c r="K24" s="605"/>
      <c r="L24" s="789"/>
    </row>
    <row r="25" spans="1:12" s="16" customFormat="1" ht="15" customHeight="1">
      <c r="A25" s="1696" t="s">
        <v>1</v>
      </c>
      <c r="B25" s="1697"/>
      <c r="C25" s="1697"/>
      <c r="D25" s="1697"/>
      <c r="E25" s="1697"/>
      <c r="F25" s="1697"/>
      <c r="G25" s="1697"/>
      <c r="H25" s="1697"/>
      <c r="I25" s="1697"/>
      <c r="J25" s="1698"/>
      <c r="K25" s="585" t="s">
        <v>524</v>
      </c>
      <c r="L25" s="789"/>
    </row>
    <row r="26" spans="1:12" s="16" customFormat="1" ht="15" customHeight="1">
      <c r="A26" s="1399" t="s">
        <v>307</v>
      </c>
      <c r="B26" s="1295"/>
      <c r="C26" s="1295"/>
      <c r="D26" s="1295"/>
      <c r="E26" s="1295"/>
      <c r="F26" s="1295"/>
      <c r="G26" s="1330" t="s">
        <v>225</v>
      </c>
      <c r="H26" s="1330"/>
      <c r="I26" s="1295" t="s">
        <v>226</v>
      </c>
      <c r="J26" s="1296"/>
      <c r="K26" s="501" t="s">
        <v>524</v>
      </c>
      <c r="L26" s="789"/>
    </row>
    <row r="27" spans="1:12" s="16" customFormat="1" ht="15" customHeight="1">
      <c r="A27" s="1384" t="s">
        <v>227</v>
      </c>
      <c r="B27" s="1372"/>
      <c r="C27" s="1372"/>
      <c r="D27" s="1372"/>
      <c r="E27" s="1372"/>
      <c r="F27" s="1372"/>
      <c r="G27" s="1372" t="s">
        <v>2</v>
      </c>
      <c r="H27" s="1372"/>
      <c r="I27" s="1372"/>
      <c r="J27" s="1373"/>
      <c r="K27" s="501" t="s">
        <v>524</v>
      </c>
      <c r="L27" s="789"/>
    </row>
    <row r="28" spans="1:12" s="16" customFormat="1" ht="15" customHeight="1">
      <c r="A28" s="1388" t="s">
        <v>384</v>
      </c>
      <c r="B28" s="1389"/>
      <c r="C28" s="1389"/>
      <c r="D28" s="1389"/>
      <c r="E28" s="1389"/>
      <c r="F28" s="1390"/>
      <c r="G28" s="1391" t="s">
        <v>228</v>
      </c>
      <c r="H28" s="1392"/>
      <c r="I28" s="1392"/>
      <c r="J28" s="1393"/>
      <c r="K28" s="501" t="s">
        <v>524</v>
      </c>
      <c r="L28" s="789"/>
    </row>
    <row r="29" spans="1:12" s="16" customFormat="1" ht="10.5" customHeight="1">
      <c r="A29" s="350"/>
      <c r="B29" s="286"/>
      <c r="C29" s="286"/>
      <c r="D29" s="286"/>
      <c r="E29" s="286"/>
      <c r="F29" s="286"/>
      <c r="G29" s="175"/>
      <c r="H29" s="175"/>
      <c r="I29" s="628"/>
      <c r="J29" s="351"/>
      <c r="K29" s="605"/>
      <c r="L29" s="789"/>
    </row>
    <row r="30" spans="1:12" s="16" customFormat="1" ht="15" customHeight="1">
      <c r="A30" s="1699" t="s">
        <v>3</v>
      </c>
      <c r="B30" s="1700"/>
      <c r="C30" s="1700"/>
      <c r="D30" s="1700"/>
      <c r="E30" s="1700"/>
      <c r="F30" s="1700"/>
      <c r="G30" s="1700"/>
      <c r="H30" s="1700"/>
      <c r="I30" s="1700"/>
      <c r="J30" s="1701"/>
      <c r="K30" s="609"/>
      <c r="L30" s="789"/>
    </row>
    <row r="31" spans="1:12" s="16" customFormat="1" ht="15" customHeight="1">
      <c r="A31" s="1399" t="s">
        <v>520</v>
      </c>
      <c r="B31" s="1295"/>
      <c r="C31" s="1295"/>
      <c r="D31" s="1295"/>
      <c r="E31" s="1295"/>
      <c r="F31" s="1295"/>
      <c r="G31" s="1330" t="s">
        <v>522</v>
      </c>
      <c r="H31" s="1330"/>
      <c r="I31" s="1295" t="s">
        <v>523</v>
      </c>
      <c r="J31" s="1296"/>
      <c r="K31" s="608"/>
      <c r="L31" s="789"/>
    </row>
    <row r="32" spans="1:12" s="16" customFormat="1" ht="15" customHeight="1">
      <c r="A32" s="1399" t="s">
        <v>521</v>
      </c>
      <c r="B32" s="1295"/>
      <c r="C32" s="1295"/>
      <c r="D32" s="1295"/>
      <c r="E32" s="1295" t="s">
        <v>525</v>
      </c>
      <c r="F32" s="1295"/>
      <c r="G32" s="1295"/>
      <c r="H32" s="1295" t="s">
        <v>526</v>
      </c>
      <c r="I32" s="1295"/>
      <c r="J32" s="1296"/>
      <c r="K32" s="501" t="s">
        <v>524</v>
      </c>
      <c r="L32" s="789"/>
    </row>
    <row r="33" spans="1:12" s="16" customFormat="1" ht="27.6" customHeight="1">
      <c r="A33" s="352" t="s">
        <v>301</v>
      </c>
      <c r="B33" s="287"/>
      <c r="C33" s="1291" t="s">
        <v>527</v>
      </c>
      <c r="D33" s="1334"/>
      <c r="E33" s="1295" t="s">
        <v>528</v>
      </c>
      <c r="F33" s="1295"/>
      <c r="G33" s="1295" t="s">
        <v>304</v>
      </c>
      <c r="H33" s="1295"/>
      <c r="I33" s="1295"/>
      <c r="J33" s="1296"/>
      <c r="K33" s="501" t="s">
        <v>524</v>
      </c>
      <c r="L33" s="789"/>
    </row>
    <row r="34" spans="1:12" s="16" customFormat="1" ht="12" customHeight="1">
      <c r="A34" s="353"/>
      <c r="B34" s="288"/>
      <c r="C34" s="288"/>
      <c r="D34" s="288"/>
      <c r="E34" s="288"/>
      <c r="F34" s="288"/>
      <c r="G34" s="175"/>
      <c r="H34" s="175"/>
      <c r="I34" s="628"/>
      <c r="J34" s="351"/>
      <c r="K34" s="605"/>
      <c r="L34" s="789"/>
    </row>
    <row r="35" spans="1:12" s="16" customFormat="1" ht="15" customHeight="1">
      <c r="A35" s="1696" t="s">
        <v>4</v>
      </c>
      <c r="B35" s="1697"/>
      <c r="C35" s="1697"/>
      <c r="D35" s="1697"/>
      <c r="E35" s="1697"/>
      <c r="F35" s="1697"/>
      <c r="G35" s="1697"/>
      <c r="H35" s="1697"/>
      <c r="I35" s="1697"/>
      <c r="J35" s="1698"/>
      <c r="K35" s="606"/>
      <c r="L35" s="789"/>
    </row>
    <row r="36" spans="1:12" s="16" customFormat="1" ht="15" customHeight="1">
      <c r="A36" s="1399" t="s">
        <v>229</v>
      </c>
      <c r="B36" s="1295"/>
      <c r="C36" s="1295"/>
      <c r="D36" s="1295"/>
      <c r="E36" s="1295"/>
      <c r="F36" s="1295"/>
      <c r="G36" s="1295"/>
      <c r="H36" s="1295"/>
      <c r="I36" s="1295"/>
      <c r="J36" s="1296"/>
      <c r="K36" s="608"/>
      <c r="L36" s="789"/>
    </row>
    <row r="37" spans="1:12" s="16" customFormat="1" ht="15" customHeight="1">
      <c r="A37" s="1399" t="s">
        <v>230</v>
      </c>
      <c r="B37" s="1295"/>
      <c r="C37" s="1295"/>
      <c r="D37" s="1295"/>
      <c r="E37" s="1295"/>
      <c r="F37" s="1295"/>
      <c r="G37" s="1295"/>
      <c r="H37" s="1295"/>
      <c r="I37" s="1295"/>
      <c r="J37" s="1296"/>
      <c r="K37" s="608"/>
      <c r="L37" s="789"/>
    </row>
    <row r="38" spans="1:12" s="16" customFormat="1" ht="10.5" customHeight="1">
      <c r="A38" s="350"/>
      <c r="B38" s="286"/>
      <c r="C38" s="286"/>
      <c r="D38" s="286"/>
      <c r="E38" s="286"/>
      <c r="F38" s="286"/>
      <c r="G38" s="175"/>
      <c r="H38" s="175"/>
      <c r="I38" s="628"/>
      <c r="J38" s="351"/>
      <c r="K38" s="605"/>
      <c r="L38" s="789"/>
    </row>
    <row r="39" spans="1:12" s="16" customFormat="1" ht="15" customHeight="1">
      <c r="A39" s="1696" t="s">
        <v>5</v>
      </c>
      <c r="B39" s="1697"/>
      <c r="C39" s="1697"/>
      <c r="D39" s="1697"/>
      <c r="E39" s="1697"/>
      <c r="F39" s="1697"/>
      <c r="G39" s="1697"/>
      <c r="H39" s="1697"/>
      <c r="I39" s="1697"/>
      <c r="J39" s="1698"/>
      <c r="K39" s="606"/>
      <c r="L39" s="789"/>
    </row>
    <row r="40" spans="1:12" s="16" customFormat="1" ht="15" customHeight="1">
      <c r="A40" s="1399" t="s">
        <v>6</v>
      </c>
      <c r="B40" s="1295"/>
      <c r="C40" s="1295"/>
      <c r="D40" s="1295"/>
      <c r="E40" s="1295"/>
      <c r="F40" s="1295"/>
      <c r="G40" s="1295"/>
      <c r="H40" s="1295"/>
      <c r="I40" s="1295"/>
      <c r="J40" s="1296"/>
      <c r="K40" s="608"/>
      <c r="L40" s="789"/>
    </row>
    <row r="41" spans="1:12" s="16" customFormat="1" ht="15" customHeight="1">
      <c r="A41" s="1403" t="s">
        <v>529</v>
      </c>
      <c r="B41" s="1404"/>
      <c r="C41" s="1404"/>
      <c r="D41" s="1404"/>
      <c r="E41" s="1404"/>
      <c r="F41" s="1404"/>
      <c r="G41" s="1404"/>
      <c r="H41" s="1404"/>
      <c r="I41" s="1404"/>
      <c r="J41" s="1405"/>
      <c r="K41" s="585" t="s">
        <v>524</v>
      </c>
      <c r="L41" s="789"/>
    </row>
    <row r="42" spans="1:12" s="16" customFormat="1" ht="15" customHeight="1">
      <c r="A42" s="1399" t="s">
        <v>7</v>
      </c>
      <c r="B42" s="1295"/>
      <c r="C42" s="1295"/>
      <c r="D42" s="1295"/>
      <c r="E42" s="1295"/>
      <c r="F42" s="1295"/>
      <c r="G42" s="1295"/>
      <c r="H42" s="1295"/>
      <c r="I42" s="1295"/>
      <c r="J42" s="1296"/>
      <c r="K42" s="608"/>
      <c r="L42" s="789"/>
    </row>
    <row r="43" spans="1:12" s="16" customFormat="1" ht="15" customHeight="1">
      <c r="A43" s="1403" t="s">
        <v>530</v>
      </c>
      <c r="B43" s="1404"/>
      <c r="C43" s="1404"/>
      <c r="D43" s="1404"/>
      <c r="E43" s="1404"/>
      <c r="F43" s="1404"/>
      <c r="G43" s="1404"/>
      <c r="H43" s="1404"/>
      <c r="I43" s="1404"/>
      <c r="J43" s="1405"/>
      <c r="K43" s="606"/>
      <c r="L43" s="789"/>
    </row>
    <row r="44" spans="1:12" s="16" customFormat="1" ht="13.9" customHeight="1">
      <c r="A44" s="1486"/>
      <c r="B44" s="1487"/>
      <c r="C44" s="1488"/>
      <c r="D44" s="826"/>
      <c r="E44" s="289"/>
      <c r="F44" s="289"/>
      <c r="G44" s="825"/>
      <c r="H44" s="825"/>
      <c r="I44" s="629"/>
      <c r="J44" s="354"/>
      <c r="K44" s="605"/>
      <c r="L44" s="789"/>
    </row>
    <row r="45" spans="1:12" s="16" customFormat="1" ht="12.75" customHeight="1">
      <c r="A45" s="1476" t="s">
        <v>8</v>
      </c>
      <c r="B45" s="1372" t="s">
        <v>9</v>
      </c>
      <c r="C45" s="1372"/>
      <c r="D45" s="1489" t="s">
        <v>373</v>
      </c>
      <c r="E45" s="1489"/>
      <c r="F45" s="1489"/>
      <c r="G45" s="1489"/>
      <c r="H45" s="1489"/>
      <c r="I45" s="1489"/>
      <c r="J45" s="1490"/>
      <c r="K45" s="606"/>
      <c r="L45" s="789"/>
    </row>
    <row r="46" spans="1:12" s="16" customFormat="1" ht="15" customHeight="1">
      <c r="A46" s="1477"/>
      <c r="B46" s="1386" t="s">
        <v>10</v>
      </c>
      <c r="C46" s="1386"/>
      <c r="D46" s="1386" t="s">
        <v>232</v>
      </c>
      <c r="E46" s="1386"/>
      <c r="F46" s="1386"/>
      <c r="G46" s="1386"/>
      <c r="H46" s="1386"/>
      <c r="I46" s="1386"/>
      <c r="J46" s="1387"/>
      <c r="K46" s="606"/>
      <c r="L46" s="789"/>
    </row>
    <row r="47" spans="1:12" s="16" customFormat="1" ht="16.5" customHeight="1">
      <c r="A47" s="1526" t="s">
        <v>205</v>
      </c>
      <c r="B47" s="1317"/>
      <c r="C47" s="1317"/>
      <c r="D47" s="1317"/>
      <c r="E47" s="1317"/>
      <c r="F47" s="1317"/>
      <c r="G47" s="1317"/>
      <c r="H47" s="1317"/>
      <c r="I47" s="1317"/>
      <c r="J47" s="1527"/>
      <c r="K47" s="585"/>
      <c r="L47" s="789"/>
    </row>
    <row r="48" spans="1:12" s="16" customFormat="1" ht="46.9" customHeight="1">
      <c r="A48" s="840">
        <v>1</v>
      </c>
      <c r="B48" s="1294" t="s">
        <v>319</v>
      </c>
      <c r="C48" s="1294"/>
      <c r="D48" s="1397" t="s">
        <v>472</v>
      </c>
      <c r="E48" s="1397"/>
      <c r="F48" s="1397"/>
      <c r="G48" s="1397"/>
      <c r="H48" s="1397"/>
      <c r="I48" s="1397"/>
      <c r="J48" s="1398"/>
      <c r="K48" s="610"/>
      <c r="L48" s="789"/>
    </row>
    <row r="49" spans="1:13" s="16" customFormat="1" ht="54" customHeight="1">
      <c r="A49" s="840" t="s">
        <v>37</v>
      </c>
      <c r="B49" s="1294" t="s">
        <v>474</v>
      </c>
      <c r="C49" s="1294"/>
      <c r="D49" s="1397" t="s">
        <v>237</v>
      </c>
      <c r="E49" s="1397"/>
      <c r="F49" s="1397"/>
      <c r="G49" s="1397"/>
      <c r="H49" s="1397"/>
      <c r="I49" s="1397"/>
      <c r="J49" s="1398"/>
      <c r="K49" s="610"/>
      <c r="L49" s="789"/>
    </row>
    <row r="50" spans="1:13" s="16" customFormat="1" ht="30.6" customHeight="1">
      <c r="A50" s="840" t="s">
        <v>39</v>
      </c>
      <c r="B50" s="1289" t="s">
        <v>385</v>
      </c>
      <c r="C50" s="1290"/>
      <c r="D50" s="1291" t="s">
        <v>467</v>
      </c>
      <c r="E50" s="1292"/>
      <c r="F50" s="1292"/>
      <c r="G50" s="1292"/>
      <c r="H50" s="1292"/>
      <c r="I50" s="1292"/>
      <c r="J50" s="1293"/>
      <c r="K50" s="610"/>
      <c r="L50" s="789"/>
    </row>
    <row r="51" spans="1:13" s="16" customFormat="1" ht="44.45" customHeight="1">
      <c r="A51" s="840" t="s">
        <v>345</v>
      </c>
      <c r="B51" s="1289" t="s">
        <v>468</v>
      </c>
      <c r="C51" s="1290"/>
      <c r="D51" s="1291" t="s">
        <v>469</v>
      </c>
      <c r="E51" s="1292"/>
      <c r="F51" s="1292"/>
      <c r="G51" s="1292"/>
      <c r="H51" s="1292"/>
      <c r="I51" s="1292"/>
      <c r="J51" s="1293"/>
      <c r="K51" s="610"/>
      <c r="L51" s="789"/>
    </row>
    <row r="52" spans="1:13" s="16" customFormat="1" ht="34.15" customHeight="1">
      <c r="A52" s="840" t="s">
        <v>347</v>
      </c>
      <c r="B52" s="1289" t="s">
        <v>470</v>
      </c>
      <c r="C52" s="1290"/>
      <c r="D52" s="1291" t="s">
        <v>410</v>
      </c>
      <c r="E52" s="1292"/>
      <c r="F52" s="1292"/>
      <c r="G52" s="1292"/>
      <c r="H52" s="1292"/>
      <c r="I52" s="1292"/>
      <c r="J52" s="1293"/>
      <c r="K52" s="610"/>
      <c r="L52" s="789"/>
    </row>
    <row r="53" spans="1:13" s="16" customFormat="1" ht="56.45" customHeight="1" thickBot="1">
      <c r="A53" s="356" t="s">
        <v>349</v>
      </c>
      <c r="B53" s="1684" t="s">
        <v>471</v>
      </c>
      <c r="C53" s="1685"/>
      <c r="D53" s="1349" t="s">
        <v>473</v>
      </c>
      <c r="E53" s="1350"/>
      <c r="F53" s="1350"/>
      <c r="G53" s="1350"/>
      <c r="H53" s="1350"/>
      <c r="I53" s="1350"/>
      <c r="J53" s="1351"/>
      <c r="K53" s="610"/>
      <c r="L53" s="789"/>
    </row>
    <row r="54" spans="1:13" s="16" customFormat="1" ht="20.45" customHeight="1" thickTop="1">
      <c r="A54" s="805"/>
      <c r="B54" s="805"/>
      <c r="C54" s="805"/>
      <c r="D54" s="344"/>
      <c r="E54" s="344"/>
      <c r="F54" s="344"/>
      <c r="G54" s="344"/>
      <c r="H54" s="344"/>
      <c r="I54" s="630"/>
      <c r="J54" s="344"/>
      <c r="K54" s="610"/>
      <c r="L54" s="789"/>
    </row>
    <row r="55" spans="1:13" s="16" customFormat="1" ht="20.45" customHeight="1">
      <c r="A55" s="805"/>
      <c r="B55" s="805"/>
      <c r="C55" s="805"/>
      <c r="D55" s="344"/>
      <c r="E55" s="344"/>
      <c r="F55" s="344"/>
      <c r="G55" s="344"/>
      <c r="H55" s="344"/>
      <c r="I55" s="630"/>
      <c r="J55" s="344"/>
      <c r="K55" s="610"/>
      <c r="L55" s="789"/>
    </row>
    <row r="56" spans="1:13" s="16" customFormat="1" ht="20.45" customHeight="1" thickBot="1">
      <c r="A56" s="367"/>
      <c r="B56" s="367"/>
      <c r="C56" s="367"/>
      <c r="D56" s="368"/>
      <c r="E56" s="368"/>
      <c r="F56" s="368"/>
      <c r="G56" s="368"/>
      <c r="H56" s="368"/>
      <c r="I56" s="631"/>
      <c r="J56" s="368"/>
      <c r="K56" s="610"/>
      <c r="L56" s="789"/>
    </row>
    <row r="57" spans="1:13" s="16" customFormat="1" ht="25.15" customHeight="1" thickTop="1">
      <c r="A57" s="588" t="s">
        <v>405</v>
      </c>
      <c r="B57" s="1688" t="s">
        <v>42</v>
      </c>
      <c r="C57" s="1689"/>
      <c r="D57" s="589"/>
      <c r="E57" s="344"/>
      <c r="F57" s="344"/>
      <c r="G57" s="344"/>
      <c r="H57" s="344"/>
      <c r="I57" s="630"/>
      <c r="J57" s="590"/>
      <c r="K57" s="610"/>
      <c r="L57" s="789"/>
      <c r="M57" s="591" t="s">
        <v>355</v>
      </c>
    </row>
    <row r="58" spans="1:13" s="16" customFormat="1" ht="40.15" customHeight="1">
      <c r="A58" s="840" t="s">
        <v>84</v>
      </c>
      <c r="B58" s="1294" t="s">
        <v>480</v>
      </c>
      <c r="C58" s="1294"/>
      <c r="D58" s="1291" t="s">
        <v>242</v>
      </c>
      <c r="E58" s="1292"/>
      <c r="F58" s="1292"/>
      <c r="G58" s="1292"/>
      <c r="H58" s="1292"/>
      <c r="I58" s="1292"/>
      <c r="J58" s="1293"/>
      <c r="K58" s="608"/>
      <c r="L58" s="789"/>
    </row>
    <row r="59" spans="1:13" s="16" customFormat="1" ht="306" customHeight="1">
      <c r="A59" s="363" t="s">
        <v>506</v>
      </c>
      <c r="B59" s="1496" t="s">
        <v>475</v>
      </c>
      <c r="C59" s="1496"/>
      <c r="D59" s="1693" t="s">
        <v>420</v>
      </c>
      <c r="E59" s="1694"/>
      <c r="F59" s="1694"/>
      <c r="G59" s="1694"/>
      <c r="H59" s="1694"/>
      <c r="I59" s="1694"/>
      <c r="J59" s="1695"/>
      <c r="K59" s="610"/>
      <c r="L59" s="789"/>
    </row>
    <row r="60" spans="1:13" s="16" customFormat="1" ht="47.45" customHeight="1">
      <c r="A60" s="840" t="s">
        <v>45</v>
      </c>
      <c r="B60" s="1294" t="s">
        <v>476</v>
      </c>
      <c r="C60" s="1294"/>
      <c r="D60" s="1397" t="s">
        <v>234</v>
      </c>
      <c r="E60" s="1397"/>
      <c r="F60" s="1397"/>
      <c r="G60" s="1397"/>
      <c r="H60" s="1397"/>
      <c r="I60" s="1397"/>
      <c r="J60" s="1398"/>
      <c r="K60" s="610"/>
      <c r="L60" s="789"/>
    </row>
    <row r="61" spans="1:13" s="16" customFormat="1" ht="84" customHeight="1">
      <c r="A61" s="840">
        <v>3</v>
      </c>
      <c r="B61" s="1294" t="s">
        <v>252</v>
      </c>
      <c r="C61" s="1294"/>
      <c r="D61" s="1291" t="s">
        <v>253</v>
      </c>
      <c r="E61" s="1292"/>
      <c r="F61" s="1292"/>
      <c r="G61" s="1292"/>
      <c r="H61" s="1292"/>
      <c r="I61" s="1292"/>
      <c r="J61" s="1293"/>
      <c r="K61" s="608"/>
      <c r="L61" s="789"/>
    </row>
    <row r="62" spans="1:13" s="16" customFormat="1" ht="40.9" customHeight="1">
      <c r="A62" s="840">
        <v>4</v>
      </c>
      <c r="B62" s="1294" t="s">
        <v>481</v>
      </c>
      <c r="C62" s="1294"/>
      <c r="D62" s="1291" t="s">
        <v>247</v>
      </c>
      <c r="E62" s="1292"/>
      <c r="F62" s="1292"/>
      <c r="G62" s="1292"/>
      <c r="H62" s="1292"/>
      <c r="I62" s="1292"/>
      <c r="J62" s="1293"/>
      <c r="K62" s="608"/>
      <c r="L62" s="789"/>
    </row>
    <row r="63" spans="1:13" s="16" customFormat="1" ht="64.900000000000006" customHeight="1">
      <c r="A63" s="840" t="s">
        <v>58</v>
      </c>
      <c r="B63" s="1294" t="s">
        <v>482</v>
      </c>
      <c r="C63" s="1294"/>
      <c r="D63" s="1291" t="s">
        <v>251</v>
      </c>
      <c r="E63" s="1292"/>
      <c r="F63" s="1292"/>
      <c r="G63" s="1292"/>
      <c r="H63" s="1292"/>
      <c r="I63" s="1292"/>
      <c r="J63" s="1293"/>
      <c r="K63" s="608"/>
      <c r="L63" s="789"/>
    </row>
    <row r="64" spans="1:13" s="16" customFormat="1" ht="114.6" customHeight="1" thickBot="1">
      <c r="A64" s="356" t="s">
        <v>59</v>
      </c>
      <c r="B64" s="1342" t="s">
        <v>248</v>
      </c>
      <c r="C64" s="1342"/>
      <c r="D64" s="1382" t="s">
        <v>249</v>
      </c>
      <c r="E64" s="1382"/>
      <c r="F64" s="1382"/>
      <c r="G64" s="1382"/>
      <c r="H64" s="1382"/>
      <c r="I64" s="1382"/>
      <c r="J64" s="1383"/>
      <c r="K64" s="608"/>
      <c r="L64" s="789"/>
    </row>
    <row r="65" spans="1:14" s="16" customFormat="1" ht="22.9" customHeight="1" thickTop="1">
      <c r="A65" s="805"/>
      <c r="B65" s="805"/>
      <c r="C65" s="805"/>
      <c r="D65" s="344"/>
      <c r="E65" s="344"/>
      <c r="F65" s="344"/>
      <c r="G65" s="344"/>
      <c r="H65" s="344"/>
      <c r="I65" s="630"/>
      <c r="J65" s="344"/>
      <c r="K65" s="608"/>
      <c r="L65" s="789"/>
    </row>
    <row r="66" spans="1:14" s="16" customFormat="1" ht="22.9" customHeight="1">
      <c r="A66" s="805"/>
      <c r="B66" s="805"/>
      <c r="C66" s="805"/>
      <c r="D66" s="344"/>
      <c r="E66" s="344"/>
      <c r="F66" s="344"/>
      <c r="G66" s="344"/>
      <c r="H66" s="344"/>
      <c r="I66" s="630"/>
      <c r="J66" s="344"/>
      <c r="K66" s="608"/>
      <c r="L66" s="789"/>
    </row>
    <row r="67" spans="1:14" s="16" customFormat="1" ht="22.9" customHeight="1">
      <c r="A67" s="805"/>
      <c r="B67" s="805"/>
      <c r="C67" s="805"/>
      <c r="D67" s="344"/>
      <c r="E67" s="344"/>
      <c r="F67" s="344"/>
      <c r="G67" s="344"/>
      <c r="H67" s="344"/>
      <c r="I67" s="630"/>
      <c r="J67" s="344"/>
      <c r="K67" s="608"/>
      <c r="L67" s="789"/>
    </row>
    <row r="68" spans="1:14" s="16" customFormat="1" ht="22.9" customHeight="1">
      <c r="A68" s="805"/>
      <c r="B68" s="805"/>
      <c r="C68" s="805"/>
      <c r="D68" s="344"/>
      <c r="E68" s="344"/>
      <c r="F68" s="344"/>
      <c r="G68" s="344"/>
      <c r="H68" s="344"/>
      <c r="I68" s="630"/>
      <c r="J68" s="344"/>
      <c r="K68" s="608"/>
      <c r="L68" s="789"/>
    </row>
    <row r="69" spans="1:14" s="16" customFormat="1" ht="22.9" customHeight="1">
      <c r="A69" s="805"/>
      <c r="B69" s="805"/>
      <c r="C69" s="805"/>
      <c r="D69" s="344"/>
      <c r="E69" s="344"/>
      <c r="F69" s="344"/>
      <c r="G69" s="344"/>
      <c r="H69" s="344"/>
      <c r="I69" s="630"/>
      <c r="J69" s="344"/>
      <c r="K69" s="608"/>
      <c r="L69" s="789"/>
    </row>
    <row r="70" spans="1:14" s="16" customFormat="1" ht="22.9" customHeight="1">
      <c r="A70" s="805"/>
      <c r="B70" s="805"/>
      <c r="C70" s="805"/>
      <c r="D70" s="344"/>
      <c r="E70" s="344"/>
      <c r="F70" s="344"/>
      <c r="G70" s="344"/>
      <c r="H70" s="344"/>
      <c r="I70" s="630"/>
      <c r="J70" s="344"/>
      <c r="K70" s="608"/>
      <c r="L70" s="789"/>
    </row>
    <row r="71" spans="1:14" s="16" customFormat="1" ht="24" customHeight="1" thickBot="1">
      <c r="A71" s="367"/>
      <c r="B71" s="367"/>
      <c r="C71" s="367"/>
      <c r="D71" s="368"/>
      <c r="E71" s="368"/>
      <c r="F71" s="368"/>
      <c r="G71" s="368"/>
      <c r="H71" s="368"/>
      <c r="I71" s="631"/>
      <c r="J71" s="368"/>
      <c r="K71" s="608"/>
      <c r="L71" s="789"/>
    </row>
    <row r="72" spans="1:14" s="16" customFormat="1" ht="302.25" customHeight="1" thickTop="1">
      <c r="A72" s="588" t="s">
        <v>477</v>
      </c>
      <c r="B72" s="1688" t="s">
        <v>475</v>
      </c>
      <c r="C72" s="1689"/>
      <c r="D72" s="1679" t="s">
        <v>420</v>
      </c>
      <c r="E72" s="1389"/>
      <c r="F72" s="1389"/>
      <c r="G72" s="1389"/>
      <c r="H72" s="1389"/>
      <c r="I72" s="1389"/>
      <c r="J72" s="1680"/>
      <c r="K72" s="608"/>
      <c r="L72" s="789"/>
    </row>
    <row r="73" spans="1:14" s="16" customFormat="1" ht="60" customHeight="1">
      <c r="A73" s="358" t="s">
        <v>62</v>
      </c>
      <c r="B73" s="1289" t="s">
        <v>361</v>
      </c>
      <c r="C73" s="1290"/>
      <c r="D73" s="1291" t="s">
        <v>362</v>
      </c>
      <c r="E73" s="1292"/>
      <c r="F73" s="1292"/>
      <c r="G73" s="1292"/>
      <c r="H73" s="1292"/>
      <c r="I73" s="1292"/>
      <c r="J73" s="1293"/>
      <c r="K73" s="608"/>
      <c r="L73" s="789"/>
      <c r="N73" s="18"/>
    </row>
    <row r="74" spans="1:14" s="16" customFormat="1" ht="19.899999999999999" customHeight="1">
      <c r="A74" s="840">
        <v>5</v>
      </c>
      <c r="B74" s="1289" t="s">
        <v>255</v>
      </c>
      <c r="C74" s="1290"/>
      <c r="D74" s="1291"/>
      <c r="E74" s="1292"/>
      <c r="F74" s="1292"/>
      <c r="G74" s="1292"/>
      <c r="H74" s="1292"/>
      <c r="I74" s="1292"/>
      <c r="J74" s="1293"/>
      <c r="K74" s="611"/>
      <c r="L74" s="789"/>
    </row>
    <row r="75" spans="1:14" s="16" customFormat="1" ht="120" customHeight="1">
      <c r="A75" s="363" t="s">
        <v>71</v>
      </c>
      <c r="B75" s="1496" t="s">
        <v>256</v>
      </c>
      <c r="C75" s="1496"/>
      <c r="D75" s="1679" t="s">
        <v>289</v>
      </c>
      <c r="E75" s="1389"/>
      <c r="F75" s="1389"/>
      <c r="G75" s="1389"/>
      <c r="H75" s="1389"/>
      <c r="I75" s="1389"/>
      <c r="J75" s="1680"/>
      <c r="K75" s="608"/>
      <c r="L75" s="789"/>
    </row>
    <row r="76" spans="1:14" s="16" customFormat="1" ht="79.150000000000006" customHeight="1">
      <c r="A76" s="363" t="s">
        <v>72</v>
      </c>
      <c r="B76" s="1496" t="s">
        <v>258</v>
      </c>
      <c r="C76" s="1496"/>
      <c r="D76" s="1679" t="s">
        <v>257</v>
      </c>
      <c r="E76" s="1389"/>
      <c r="F76" s="1389"/>
      <c r="G76" s="1389"/>
      <c r="H76" s="1389"/>
      <c r="I76" s="1389"/>
      <c r="J76" s="1680"/>
      <c r="K76" s="608"/>
      <c r="L76" s="789"/>
    </row>
    <row r="77" spans="1:14" s="16" customFormat="1" ht="108.6" customHeight="1">
      <c r="A77" s="840" t="s">
        <v>73</v>
      </c>
      <c r="B77" s="1294" t="s">
        <v>254</v>
      </c>
      <c r="C77" s="1294"/>
      <c r="D77" s="1291" t="s">
        <v>333</v>
      </c>
      <c r="E77" s="1292"/>
      <c r="F77" s="1292"/>
      <c r="G77" s="1292"/>
      <c r="H77" s="1292"/>
      <c r="I77" s="1292"/>
      <c r="J77" s="1293"/>
      <c r="K77" s="608"/>
      <c r="L77" s="789"/>
    </row>
    <row r="78" spans="1:14" s="16" customFormat="1" ht="48" customHeight="1">
      <c r="A78" s="363" t="s">
        <v>74</v>
      </c>
      <c r="B78" s="1289" t="s">
        <v>483</v>
      </c>
      <c r="C78" s="1290"/>
      <c r="D78" s="1291" t="s">
        <v>484</v>
      </c>
      <c r="E78" s="1292"/>
      <c r="F78" s="1292"/>
      <c r="G78" s="1292"/>
      <c r="H78" s="1292"/>
      <c r="I78" s="1292"/>
      <c r="J78" s="1293"/>
      <c r="K78" s="608"/>
      <c r="L78" s="789"/>
    </row>
    <row r="79" spans="1:14" s="16" customFormat="1" ht="31.15" customHeight="1">
      <c r="A79" s="363" t="s">
        <v>507</v>
      </c>
      <c r="B79" s="1496" t="s">
        <v>486</v>
      </c>
      <c r="C79" s="1496"/>
      <c r="D79" s="1494" t="s">
        <v>485</v>
      </c>
      <c r="E79" s="1494"/>
      <c r="F79" s="1494"/>
      <c r="G79" s="1494"/>
      <c r="H79" s="1494"/>
      <c r="I79" s="1494"/>
      <c r="J79" s="1495"/>
      <c r="K79" s="608"/>
      <c r="L79" s="789"/>
    </row>
    <row r="80" spans="1:14" s="16" customFormat="1" ht="25.9" customHeight="1">
      <c r="A80" s="363" t="s">
        <v>77</v>
      </c>
      <c r="B80" s="1289" t="s">
        <v>487</v>
      </c>
      <c r="C80" s="1290"/>
      <c r="D80" s="1291" t="s">
        <v>488</v>
      </c>
      <c r="E80" s="1292"/>
      <c r="F80" s="1292"/>
      <c r="G80" s="1292"/>
      <c r="H80" s="1292"/>
      <c r="I80" s="1292"/>
      <c r="J80" s="1293"/>
      <c r="K80" s="608"/>
      <c r="L80" s="789"/>
    </row>
    <row r="81" spans="1:12" s="16" customFormat="1" ht="31.15" customHeight="1">
      <c r="A81" s="363" t="s">
        <v>337</v>
      </c>
      <c r="B81" s="1289" t="s">
        <v>489</v>
      </c>
      <c r="C81" s="1290"/>
      <c r="D81" s="1291" t="s">
        <v>490</v>
      </c>
      <c r="E81" s="1292"/>
      <c r="F81" s="1292"/>
      <c r="G81" s="1292"/>
      <c r="H81" s="1292"/>
      <c r="I81" s="1292"/>
      <c r="J81" s="1293"/>
      <c r="K81" s="608"/>
      <c r="L81" s="789"/>
    </row>
    <row r="82" spans="1:12" s="16" customFormat="1" ht="25.9" customHeight="1" thickBot="1">
      <c r="A82" s="356">
        <v>6</v>
      </c>
      <c r="B82" s="1684" t="s">
        <v>491</v>
      </c>
      <c r="C82" s="1685"/>
      <c r="D82" s="1349" t="s">
        <v>492</v>
      </c>
      <c r="E82" s="1350"/>
      <c r="F82" s="1350"/>
      <c r="G82" s="1350"/>
      <c r="H82" s="1350"/>
      <c r="I82" s="1350"/>
      <c r="J82" s="1351"/>
      <c r="K82" s="608"/>
      <c r="L82" s="789"/>
    </row>
    <row r="83" spans="1:12" s="16" customFormat="1" ht="25.9" customHeight="1" thickTop="1">
      <c r="A83" s="805"/>
      <c r="B83" s="805"/>
      <c r="C83" s="805"/>
      <c r="D83" s="344"/>
      <c r="E83" s="344"/>
      <c r="F83" s="344"/>
      <c r="G83" s="344"/>
      <c r="H83" s="344"/>
      <c r="I83" s="630"/>
      <c r="J83" s="344"/>
      <c r="K83" s="608"/>
      <c r="L83" s="789"/>
    </row>
    <row r="84" spans="1:12" s="16" customFormat="1" ht="25.9" customHeight="1" thickBot="1">
      <c r="A84" s="367"/>
      <c r="B84" s="367"/>
      <c r="C84" s="367"/>
      <c r="D84" s="368"/>
      <c r="E84" s="368"/>
      <c r="F84" s="368"/>
      <c r="G84" s="368"/>
      <c r="H84" s="368"/>
      <c r="I84" s="631"/>
      <c r="J84" s="368"/>
      <c r="K84" s="608"/>
      <c r="L84" s="789"/>
    </row>
    <row r="85" spans="1:12" s="16" customFormat="1" ht="15" customHeight="1" thickTop="1">
      <c r="A85" s="1690" t="s">
        <v>478</v>
      </c>
      <c r="B85" s="1691"/>
      <c r="C85" s="1691"/>
      <c r="D85" s="1691"/>
      <c r="E85" s="1691"/>
      <c r="F85" s="1691"/>
      <c r="G85" s="1691"/>
      <c r="H85" s="1691"/>
      <c r="I85" s="1691"/>
      <c r="J85" s="1692"/>
      <c r="K85" s="608"/>
      <c r="L85" s="789"/>
    </row>
    <row r="86" spans="1:12" s="16" customFormat="1" ht="69.75" customHeight="1">
      <c r="A86" s="363">
        <v>1</v>
      </c>
      <c r="B86" s="1289" t="s">
        <v>479</v>
      </c>
      <c r="C86" s="1290"/>
      <c r="D86" s="1291" t="s">
        <v>293</v>
      </c>
      <c r="E86" s="1292"/>
      <c r="F86" s="1292"/>
      <c r="G86" s="1292"/>
      <c r="H86" s="1292"/>
      <c r="I86" s="1292"/>
      <c r="J86" s="1293"/>
      <c r="K86" s="608"/>
      <c r="L86" s="789"/>
    </row>
    <row r="87" spans="1:12" s="16" customFormat="1" ht="19.149999999999999" customHeight="1">
      <c r="A87" s="363">
        <v>2</v>
      </c>
      <c r="B87" s="1289" t="s">
        <v>42</v>
      </c>
      <c r="C87" s="1290"/>
      <c r="D87" s="1289"/>
      <c r="E87" s="1425"/>
      <c r="F87" s="1425"/>
      <c r="G87" s="1425"/>
      <c r="H87" s="1425"/>
      <c r="I87" s="1425"/>
      <c r="J87" s="1426"/>
      <c r="K87" s="608"/>
      <c r="L87" s="789"/>
    </row>
    <row r="88" spans="1:12" s="16" customFormat="1" ht="58.5" customHeight="1">
      <c r="A88" s="363" t="s">
        <v>84</v>
      </c>
      <c r="B88" s="1289" t="s">
        <v>493</v>
      </c>
      <c r="C88" s="1290"/>
      <c r="D88" s="1291" t="s">
        <v>498</v>
      </c>
      <c r="E88" s="1292"/>
      <c r="F88" s="1292"/>
      <c r="G88" s="1292"/>
      <c r="H88" s="1292"/>
      <c r="I88" s="1292"/>
      <c r="J88" s="1293"/>
      <c r="K88" s="608"/>
      <c r="L88" s="789"/>
    </row>
    <row r="89" spans="1:12" s="16" customFormat="1" ht="41.45" customHeight="1">
      <c r="A89" s="363" t="s">
        <v>43</v>
      </c>
      <c r="B89" s="1289" t="s">
        <v>476</v>
      </c>
      <c r="C89" s="1290"/>
      <c r="D89" s="1291" t="s">
        <v>234</v>
      </c>
      <c r="E89" s="1292"/>
      <c r="F89" s="1292"/>
      <c r="G89" s="1292"/>
      <c r="H89" s="1292"/>
      <c r="I89" s="1292"/>
      <c r="J89" s="1293"/>
      <c r="K89" s="608"/>
      <c r="L89" s="789"/>
    </row>
    <row r="90" spans="1:12" s="16" customFormat="1" ht="31.15" customHeight="1">
      <c r="A90" s="363" t="s">
        <v>240</v>
      </c>
      <c r="B90" s="1289" t="s">
        <v>239</v>
      </c>
      <c r="C90" s="1290"/>
      <c r="D90" s="1291" t="s">
        <v>238</v>
      </c>
      <c r="E90" s="1292"/>
      <c r="F90" s="1292"/>
      <c r="G90" s="1292"/>
      <c r="H90" s="1292"/>
      <c r="I90" s="1292"/>
      <c r="J90" s="1293"/>
      <c r="K90" s="608"/>
      <c r="L90" s="789"/>
    </row>
    <row r="91" spans="1:12" s="16" customFormat="1" ht="30.6" customHeight="1">
      <c r="A91" s="363" t="s">
        <v>45</v>
      </c>
      <c r="B91" s="1289" t="s">
        <v>480</v>
      </c>
      <c r="C91" s="1290"/>
      <c r="D91" s="1291" t="s">
        <v>242</v>
      </c>
      <c r="E91" s="1292"/>
      <c r="F91" s="1292"/>
      <c r="G91" s="1292"/>
      <c r="H91" s="1292"/>
      <c r="I91" s="1292"/>
      <c r="J91" s="1293"/>
      <c r="K91" s="608"/>
      <c r="L91" s="789"/>
    </row>
    <row r="92" spans="1:12" s="16" customFormat="1" ht="296.45" customHeight="1">
      <c r="A92" s="363" t="s">
        <v>508</v>
      </c>
      <c r="B92" s="1289" t="s">
        <v>475</v>
      </c>
      <c r="C92" s="1290"/>
      <c r="D92" s="1291" t="s">
        <v>420</v>
      </c>
      <c r="E92" s="1292"/>
      <c r="F92" s="1292"/>
      <c r="G92" s="1292"/>
      <c r="H92" s="1292"/>
      <c r="I92" s="1292"/>
      <c r="J92" s="1293"/>
      <c r="K92" s="608"/>
      <c r="L92" s="789"/>
    </row>
    <row r="93" spans="1:12" s="16" customFormat="1" ht="30" customHeight="1">
      <c r="A93" s="363">
        <v>3</v>
      </c>
      <c r="B93" s="1289" t="s">
        <v>315</v>
      </c>
      <c r="C93" s="1290"/>
      <c r="D93" s="1291" t="s">
        <v>417</v>
      </c>
      <c r="E93" s="1292"/>
      <c r="F93" s="1292"/>
      <c r="G93" s="1292"/>
      <c r="H93" s="1292"/>
      <c r="I93" s="1292"/>
      <c r="J93" s="1293"/>
      <c r="K93" s="608"/>
      <c r="L93" s="789"/>
    </row>
    <row r="94" spans="1:12" s="16" customFormat="1" ht="16.149999999999999" customHeight="1">
      <c r="A94" s="363" t="s">
        <v>54</v>
      </c>
      <c r="B94" s="1289" t="s">
        <v>468</v>
      </c>
      <c r="C94" s="1290"/>
      <c r="D94" s="1291" t="s">
        <v>509</v>
      </c>
      <c r="E94" s="1292"/>
      <c r="F94" s="1292"/>
      <c r="G94" s="1292"/>
      <c r="H94" s="1292"/>
      <c r="I94" s="1292"/>
      <c r="J94" s="1293"/>
      <c r="K94" s="608"/>
      <c r="L94" s="789"/>
    </row>
    <row r="95" spans="1:12" s="16" customFormat="1" ht="18.600000000000001" customHeight="1">
      <c r="A95" s="363" t="s">
        <v>95</v>
      </c>
      <c r="B95" s="1289" t="s">
        <v>494</v>
      </c>
      <c r="C95" s="1290"/>
      <c r="D95" s="1291" t="s">
        <v>510</v>
      </c>
      <c r="E95" s="1292"/>
      <c r="F95" s="1292"/>
      <c r="G95" s="1292"/>
      <c r="H95" s="1292"/>
      <c r="I95" s="1292"/>
      <c r="J95" s="1293"/>
      <c r="K95" s="608"/>
      <c r="L95" s="789"/>
    </row>
    <row r="96" spans="1:12" s="16" customFormat="1" ht="87.75" customHeight="1">
      <c r="A96" s="363" t="s">
        <v>97</v>
      </c>
      <c r="B96" s="1289" t="s">
        <v>190</v>
      </c>
      <c r="C96" s="1290"/>
      <c r="D96" s="1291" t="s">
        <v>418</v>
      </c>
      <c r="E96" s="1292"/>
      <c r="F96" s="1292"/>
      <c r="G96" s="1292"/>
      <c r="H96" s="1292"/>
      <c r="I96" s="1292"/>
      <c r="J96" s="1293"/>
      <c r="K96" s="608"/>
      <c r="L96" s="789"/>
    </row>
    <row r="97" spans="1:12" s="16" customFormat="1" ht="20.45" customHeight="1">
      <c r="A97" s="363">
        <v>4</v>
      </c>
      <c r="B97" s="1289" t="s">
        <v>495</v>
      </c>
      <c r="C97" s="1290"/>
      <c r="D97" s="1291"/>
      <c r="E97" s="1292"/>
      <c r="F97" s="1292"/>
      <c r="G97" s="1292"/>
      <c r="H97" s="1292"/>
      <c r="I97" s="1292"/>
      <c r="J97" s="1293"/>
      <c r="K97" s="608"/>
      <c r="L97" s="789"/>
    </row>
    <row r="98" spans="1:12" s="16" customFormat="1" ht="84.75" customHeight="1">
      <c r="A98" s="363" t="s">
        <v>58</v>
      </c>
      <c r="B98" s="1289" t="s">
        <v>252</v>
      </c>
      <c r="C98" s="1290"/>
      <c r="D98" s="1291" t="str">
        <f>D61</f>
        <v xml:space="preserve">As alvenarias apresentarão prumo e alinhamentos perfeitos, fiadas niveladas e com espessura das juntas compatíveis com os materiais utilizados.  Os elementos de alvenaria que absorvem água deverão ser molhados por ocasião do seu emprego, e no respaldo de alvenaria não encunhado será executada cinta de concreto armado.
Serão utilizados blocos de concreto estrutural 14x19x39cm, assentados com  argamassa de cimento e areia , na posição de "uma vez".  
</v>
      </c>
      <c r="E98" s="1292"/>
      <c r="F98" s="1292"/>
      <c r="G98" s="1292"/>
      <c r="H98" s="1292"/>
      <c r="I98" s="1292"/>
      <c r="J98" s="1293"/>
      <c r="K98" s="608"/>
      <c r="L98" s="789"/>
    </row>
    <row r="99" spans="1:12" s="16" customFormat="1" ht="25.9" customHeight="1" thickBot="1">
      <c r="A99" s="356" t="s">
        <v>59</v>
      </c>
      <c r="B99" s="1684" t="s">
        <v>496</v>
      </c>
      <c r="C99" s="1685"/>
      <c r="D99" s="1349" t="s">
        <v>505</v>
      </c>
      <c r="E99" s="1350"/>
      <c r="F99" s="1350"/>
      <c r="G99" s="1350"/>
      <c r="H99" s="1350"/>
      <c r="I99" s="1350"/>
      <c r="J99" s="1351"/>
      <c r="K99" s="608"/>
      <c r="L99" s="789"/>
    </row>
    <row r="100" spans="1:12" s="16" customFormat="1" ht="25.9" customHeight="1" thickTop="1">
      <c r="A100" s="805"/>
      <c r="B100" s="805"/>
      <c r="C100" s="805"/>
      <c r="D100" s="344"/>
      <c r="E100" s="344"/>
      <c r="F100" s="344"/>
      <c r="G100" s="344"/>
      <c r="H100" s="344"/>
      <c r="I100" s="630"/>
      <c r="J100" s="344"/>
      <c r="K100" s="608"/>
      <c r="L100" s="789"/>
    </row>
    <row r="101" spans="1:12" s="16" customFormat="1" ht="25.9" customHeight="1">
      <c r="A101" s="805"/>
      <c r="B101" s="805"/>
      <c r="C101" s="805"/>
      <c r="D101" s="344"/>
      <c r="E101" s="344"/>
      <c r="F101" s="344"/>
      <c r="G101" s="344"/>
      <c r="H101" s="344"/>
      <c r="I101" s="630"/>
      <c r="J101" s="344"/>
      <c r="K101" s="608"/>
      <c r="L101" s="789"/>
    </row>
    <row r="102" spans="1:12" s="16" customFormat="1" ht="25.9" customHeight="1" thickBot="1">
      <c r="A102" s="367"/>
      <c r="B102" s="367"/>
      <c r="C102" s="367"/>
      <c r="D102" s="368"/>
      <c r="E102" s="368"/>
      <c r="F102" s="368"/>
      <c r="G102" s="368"/>
      <c r="H102" s="368"/>
      <c r="I102" s="631"/>
      <c r="J102" s="368"/>
      <c r="K102" s="608"/>
      <c r="L102" s="789"/>
    </row>
    <row r="103" spans="1:12" s="16" customFormat="1" ht="116.45" customHeight="1" thickTop="1">
      <c r="A103" s="363" t="s">
        <v>60</v>
      </c>
      <c r="B103" s="1688" t="s">
        <v>248</v>
      </c>
      <c r="C103" s="1689"/>
      <c r="D103" s="1353" t="str">
        <f>D64</f>
        <v xml:space="preserve">As formas de vigas e pilares deverão ser de tábua comum ou chapa de compensado tipo madeirite, as quais deverão ter  as amarrações e os escoramentos necessários para não sofrerem deslocamentos ou deformações quando do lançamento do concreto, fazendo com que por ocasião da desforma reproduza uma estrutura perfeita e alinhada.
Na retirada das formas deve se evitar choques mecânicos.
A execução das formas e seus escoramentos deverão garantir nivelamento, prumo, esquadro, paralelismo, alinhamento das peças e impedir o aparecimento de ondulações na superfície pronta do concreto.
</v>
      </c>
      <c r="E103" s="1354"/>
      <c r="F103" s="1354"/>
      <c r="G103" s="1354"/>
      <c r="H103" s="1354"/>
      <c r="I103" s="1354"/>
      <c r="J103" s="1355"/>
      <c r="K103" s="608"/>
      <c r="L103" s="789"/>
    </row>
    <row r="104" spans="1:12" s="16" customFormat="1" ht="52.15" customHeight="1">
      <c r="A104" s="363">
        <v>5</v>
      </c>
      <c r="B104" s="1289" t="s">
        <v>497</v>
      </c>
      <c r="C104" s="1290"/>
      <c r="D104" s="1291" t="s">
        <v>504</v>
      </c>
      <c r="E104" s="1292"/>
      <c r="F104" s="1292"/>
      <c r="G104" s="1292"/>
      <c r="H104" s="1292"/>
      <c r="I104" s="1292"/>
      <c r="J104" s="1293"/>
      <c r="K104" s="608"/>
      <c r="L104" s="789"/>
    </row>
    <row r="105" spans="1:12" s="16" customFormat="1" ht="120" customHeight="1">
      <c r="A105" s="363">
        <v>6</v>
      </c>
      <c r="B105" s="1289" t="s">
        <v>248</v>
      </c>
      <c r="C105" s="1290"/>
      <c r="D105" s="1291" t="str">
        <f>D64</f>
        <v xml:space="preserve">As formas de vigas e pilares deverão ser de tábua comum ou chapa de compensado tipo madeirite, as quais deverão ter  as amarrações e os escoramentos necessários para não sofrerem deslocamentos ou deformações quando do lançamento do concreto, fazendo com que por ocasião da desforma reproduza uma estrutura perfeita e alinhada.
Na retirada das formas deve se evitar choques mecânicos.
A execução das formas e seus escoramentos deverão garantir nivelamento, prumo, esquadro, paralelismo, alinhamento das peças e impedir o aparecimento de ondulações na superfície pronta do concreto.
</v>
      </c>
      <c r="E105" s="1292"/>
      <c r="F105" s="1292"/>
      <c r="G105" s="1292"/>
      <c r="H105" s="1292"/>
      <c r="I105" s="1292"/>
      <c r="J105" s="1293"/>
      <c r="K105" s="608"/>
      <c r="L105" s="789"/>
    </row>
    <row r="106" spans="1:12" s="16" customFormat="1" ht="44.45" customHeight="1">
      <c r="A106" s="363" t="s">
        <v>511</v>
      </c>
      <c r="B106" s="1289" t="s">
        <v>502</v>
      </c>
      <c r="C106" s="1290"/>
      <c r="D106" s="1291" t="s">
        <v>278</v>
      </c>
      <c r="E106" s="1292"/>
      <c r="F106" s="1292"/>
      <c r="G106" s="1292"/>
      <c r="H106" s="1292"/>
      <c r="I106" s="1292"/>
      <c r="J106" s="1293"/>
      <c r="K106" s="608"/>
      <c r="L106" s="789"/>
    </row>
    <row r="107" spans="1:12" s="16" customFormat="1" ht="24" customHeight="1">
      <c r="A107" s="363">
        <v>7</v>
      </c>
      <c r="B107" s="1289" t="s">
        <v>78</v>
      </c>
      <c r="C107" s="1290"/>
      <c r="D107" s="1291"/>
      <c r="E107" s="1292"/>
      <c r="F107" s="1292"/>
      <c r="G107" s="1292"/>
      <c r="H107" s="1292"/>
      <c r="I107" s="1292"/>
      <c r="J107" s="1293"/>
      <c r="K107" s="608"/>
      <c r="L107" s="789"/>
    </row>
    <row r="108" spans="1:12" s="16" customFormat="1" ht="116.45" customHeight="1">
      <c r="A108" s="363" t="s">
        <v>108</v>
      </c>
      <c r="B108" s="1289" t="s">
        <v>256</v>
      </c>
      <c r="C108" s="1290"/>
      <c r="D108" s="1291" t="s">
        <v>289</v>
      </c>
      <c r="E108" s="1292"/>
      <c r="F108" s="1292"/>
      <c r="G108" s="1292"/>
      <c r="H108" s="1292"/>
      <c r="I108" s="1292"/>
      <c r="J108" s="1293"/>
      <c r="K108" s="608"/>
      <c r="L108" s="789"/>
    </row>
    <row r="109" spans="1:12" s="16" customFormat="1" ht="81.599999999999994" customHeight="1">
      <c r="A109" s="363" t="s">
        <v>109</v>
      </c>
      <c r="B109" s="1289" t="s">
        <v>499</v>
      </c>
      <c r="C109" s="1290"/>
      <c r="D109" s="1291" t="s">
        <v>257</v>
      </c>
      <c r="E109" s="1292"/>
      <c r="F109" s="1292"/>
      <c r="G109" s="1292"/>
      <c r="H109" s="1292"/>
      <c r="I109" s="1292"/>
      <c r="J109" s="1293"/>
      <c r="K109" s="608"/>
      <c r="L109" s="789"/>
    </row>
    <row r="110" spans="1:12" s="16" customFormat="1" ht="58.15" customHeight="1">
      <c r="A110" s="363" t="s">
        <v>110</v>
      </c>
      <c r="B110" s="1289" t="s">
        <v>500</v>
      </c>
      <c r="C110" s="1290"/>
      <c r="D110" s="1291" t="s">
        <v>281</v>
      </c>
      <c r="E110" s="1292"/>
      <c r="F110" s="1292"/>
      <c r="G110" s="1292"/>
      <c r="H110" s="1292"/>
      <c r="I110" s="1292"/>
      <c r="J110" s="1293"/>
      <c r="K110" s="608"/>
      <c r="L110" s="789"/>
    </row>
    <row r="111" spans="1:12" s="16" customFormat="1" ht="50.45" customHeight="1">
      <c r="A111" s="363" t="s">
        <v>112</v>
      </c>
      <c r="B111" s="1289" t="s">
        <v>483</v>
      </c>
      <c r="C111" s="1290"/>
      <c r="D111" s="1291" t="s">
        <v>501</v>
      </c>
      <c r="E111" s="1292"/>
      <c r="F111" s="1292"/>
      <c r="G111" s="1292"/>
      <c r="H111" s="1292"/>
      <c r="I111" s="1292"/>
      <c r="J111" s="1293"/>
      <c r="K111" s="608"/>
      <c r="L111" s="789"/>
    </row>
    <row r="112" spans="1:12" s="16" customFormat="1" ht="37.9" customHeight="1" thickBot="1">
      <c r="A112" s="356" t="s">
        <v>114</v>
      </c>
      <c r="B112" s="1684" t="s">
        <v>487</v>
      </c>
      <c r="C112" s="1685"/>
      <c r="D112" s="1349" t="s">
        <v>512</v>
      </c>
      <c r="E112" s="1350"/>
      <c r="F112" s="1350"/>
      <c r="G112" s="1350"/>
      <c r="H112" s="1350"/>
      <c r="I112" s="1350"/>
      <c r="J112" s="1351"/>
      <c r="K112" s="608"/>
      <c r="L112" s="789"/>
    </row>
    <row r="113" spans="1:12" s="594" customFormat="1" ht="33.6" customHeight="1" thickTop="1">
      <c r="A113" s="592"/>
      <c r="B113" s="592"/>
      <c r="C113" s="592"/>
      <c r="D113" s="593"/>
      <c r="E113" s="593"/>
      <c r="F113" s="593"/>
      <c r="G113" s="593"/>
      <c r="H113" s="593"/>
      <c r="I113" s="632"/>
      <c r="J113" s="593"/>
      <c r="K113" s="612"/>
      <c r="L113" s="790"/>
    </row>
    <row r="114" spans="1:12" s="16" customFormat="1" ht="33.6" customHeight="1">
      <c r="A114" s="805"/>
      <c r="B114" s="805"/>
      <c r="C114" s="805"/>
      <c r="D114" s="344"/>
      <c r="E114" s="344"/>
      <c r="F114" s="344"/>
      <c r="G114" s="344"/>
      <c r="H114" s="344"/>
      <c r="I114" s="630"/>
      <c r="J114" s="344"/>
      <c r="K114" s="608"/>
      <c r="L114" s="789"/>
    </row>
    <row r="115" spans="1:12" s="16" customFormat="1" ht="33.6" customHeight="1">
      <c r="A115" s="805"/>
      <c r="B115" s="805"/>
      <c r="C115" s="805"/>
      <c r="D115" s="344"/>
      <c r="E115" s="344"/>
      <c r="F115" s="344"/>
      <c r="G115" s="344"/>
      <c r="H115" s="344"/>
      <c r="I115" s="630"/>
      <c r="J115" s="344"/>
      <c r="K115" s="608"/>
      <c r="L115" s="789"/>
    </row>
    <row r="116" spans="1:12" s="16" customFormat="1" ht="25.9" customHeight="1">
      <c r="A116" s="805"/>
      <c r="B116" s="805"/>
      <c r="C116" s="805"/>
      <c r="D116" s="344"/>
      <c r="E116" s="344"/>
      <c r="F116" s="344"/>
      <c r="G116" s="344"/>
      <c r="H116" s="344"/>
      <c r="I116" s="630"/>
      <c r="J116" s="344"/>
      <c r="K116" s="608"/>
      <c r="L116" s="789"/>
    </row>
    <row r="117" spans="1:12" s="16" customFormat="1" ht="25.9" customHeight="1">
      <c r="A117" s="805"/>
      <c r="B117" s="805"/>
      <c r="C117" s="805"/>
      <c r="D117" s="344"/>
      <c r="E117" s="344"/>
      <c r="F117" s="344"/>
      <c r="G117" s="344"/>
      <c r="H117" s="344"/>
      <c r="I117" s="630"/>
      <c r="J117" s="344"/>
      <c r="K117" s="608"/>
      <c r="L117" s="789"/>
    </row>
    <row r="118" spans="1:12" s="16" customFormat="1" ht="25.9" customHeight="1" thickBot="1">
      <c r="A118" s="367"/>
      <c r="B118" s="367"/>
      <c r="C118" s="367"/>
      <c r="D118" s="368"/>
      <c r="E118" s="368"/>
      <c r="F118" s="368"/>
      <c r="G118" s="368"/>
      <c r="H118" s="368"/>
      <c r="I118" s="631"/>
      <c r="J118" s="368"/>
      <c r="K118" s="608"/>
      <c r="L118" s="789"/>
    </row>
    <row r="119" spans="1:12" s="16" customFormat="1" ht="278.45" customHeight="1" thickTop="1">
      <c r="A119" s="363">
        <v>8</v>
      </c>
      <c r="B119" s="1688" t="s">
        <v>263</v>
      </c>
      <c r="C119" s="1689"/>
      <c r="D119" s="1679" t="s">
        <v>513</v>
      </c>
      <c r="E119" s="1389"/>
      <c r="F119" s="1389"/>
      <c r="G119" s="1389"/>
      <c r="H119" s="1389"/>
      <c r="I119" s="1389"/>
      <c r="J119" s="1680"/>
      <c r="K119" s="608"/>
      <c r="L119" s="789"/>
    </row>
    <row r="120" spans="1:12" s="16" customFormat="1" ht="47.45" customHeight="1">
      <c r="A120" s="363">
        <v>9</v>
      </c>
      <c r="B120" s="1289" t="s">
        <v>261</v>
      </c>
      <c r="C120" s="1290"/>
      <c r="D120" s="1291" t="s">
        <v>262</v>
      </c>
      <c r="E120" s="1292"/>
      <c r="F120" s="1292"/>
      <c r="G120" s="1292"/>
      <c r="H120" s="1292"/>
      <c r="I120" s="1292"/>
      <c r="J120" s="1293"/>
      <c r="K120" s="608"/>
      <c r="L120" s="789"/>
    </row>
    <row r="121" spans="1:12" s="16" customFormat="1" ht="34.9" customHeight="1">
      <c r="A121" s="363">
        <v>10</v>
      </c>
      <c r="B121" s="1289" t="s">
        <v>190</v>
      </c>
      <c r="C121" s="1290"/>
      <c r="D121" s="1291" t="s">
        <v>503</v>
      </c>
      <c r="E121" s="1292"/>
      <c r="F121" s="1292"/>
      <c r="G121" s="1292"/>
      <c r="H121" s="1292"/>
      <c r="I121" s="1292"/>
      <c r="J121" s="1293"/>
      <c r="K121" s="608"/>
      <c r="L121" s="789"/>
    </row>
    <row r="122" spans="1:12" s="16" customFormat="1" ht="22.15" customHeight="1" thickBot="1">
      <c r="A122" s="356">
        <v>11</v>
      </c>
      <c r="B122" s="1684" t="s">
        <v>195</v>
      </c>
      <c r="C122" s="1685"/>
      <c r="D122" s="1349" t="s">
        <v>280</v>
      </c>
      <c r="E122" s="1350"/>
      <c r="F122" s="1350"/>
      <c r="G122" s="1350"/>
      <c r="H122" s="1350"/>
      <c r="I122" s="1350"/>
      <c r="J122" s="1351"/>
      <c r="K122" s="608"/>
      <c r="L122" s="789"/>
    </row>
    <row r="123" spans="1:12" s="16" customFormat="1" ht="17.45" customHeight="1" thickTop="1">
      <c r="A123" s="805"/>
      <c r="B123" s="805"/>
      <c r="C123" s="805"/>
      <c r="D123" s="344"/>
      <c r="E123" s="344"/>
      <c r="F123" s="344"/>
      <c r="G123" s="344"/>
      <c r="H123" s="344"/>
      <c r="I123" s="630"/>
      <c r="J123" s="344"/>
      <c r="K123" s="608"/>
      <c r="L123" s="789"/>
    </row>
    <row r="124" spans="1:12" s="16" customFormat="1" ht="18.600000000000001" customHeight="1">
      <c r="A124" s="805"/>
      <c r="B124" s="805"/>
      <c r="C124" s="805"/>
      <c r="D124" s="344"/>
      <c r="E124" s="344"/>
      <c r="F124" s="344"/>
      <c r="G124" s="344"/>
      <c r="H124" s="344"/>
      <c r="I124" s="630"/>
      <c r="J124" s="344"/>
      <c r="K124" s="608"/>
      <c r="L124" s="789"/>
    </row>
    <row r="125" spans="1:12" s="16" customFormat="1" ht="13.15" customHeight="1" thickBot="1">
      <c r="A125" s="367"/>
      <c r="B125" s="367"/>
      <c r="C125" s="367"/>
      <c r="D125" s="368"/>
      <c r="E125" s="368"/>
      <c r="F125" s="368"/>
      <c r="G125" s="368"/>
      <c r="H125" s="368"/>
      <c r="I125" s="631"/>
      <c r="J125" s="368"/>
      <c r="K125" s="608"/>
      <c r="L125" s="789"/>
    </row>
    <row r="126" spans="1:12" s="16" customFormat="1" ht="15" customHeight="1" thickTop="1">
      <c r="A126" s="1686" t="s">
        <v>465</v>
      </c>
      <c r="B126" s="1337"/>
      <c r="C126" s="1337"/>
      <c r="D126" s="1337"/>
      <c r="E126" s="1337"/>
      <c r="F126" s="1337"/>
      <c r="G126" s="1337"/>
      <c r="H126" s="1337"/>
      <c r="I126" s="1337"/>
      <c r="J126" s="1687"/>
      <c r="K126" s="585"/>
      <c r="L126" s="789"/>
    </row>
    <row r="127" spans="1:12" s="16" customFormat="1" ht="105.6" customHeight="1">
      <c r="A127" s="840" t="s">
        <v>406</v>
      </c>
      <c r="B127" s="1294" t="s">
        <v>91</v>
      </c>
      <c r="C127" s="1294"/>
      <c r="D127" s="1368" t="s">
        <v>358</v>
      </c>
      <c r="E127" s="1368"/>
      <c r="F127" s="1368"/>
      <c r="G127" s="1368"/>
      <c r="H127" s="1368"/>
      <c r="I127" s="1368"/>
      <c r="J127" s="1369"/>
      <c r="K127" s="608"/>
      <c r="L127" s="789"/>
    </row>
    <row r="128" spans="1:12" s="16" customFormat="1" ht="63" customHeight="1">
      <c r="A128" s="840" t="s">
        <v>405</v>
      </c>
      <c r="B128" s="1294" t="s">
        <v>356</v>
      </c>
      <c r="C128" s="1294"/>
      <c r="D128" s="1346" t="s">
        <v>359</v>
      </c>
      <c r="E128" s="1347"/>
      <c r="F128" s="1347"/>
      <c r="G128" s="1347"/>
      <c r="H128" s="1347"/>
      <c r="I128" s="1347"/>
      <c r="J128" s="1348"/>
      <c r="K128" s="608"/>
      <c r="L128" s="789"/>
    </row>
    <row r="129" spans="1:12" s="16" customFormat="1" ht="146.44999999999999" customHeight="1">
      <c r="A129" s="363" t="s">
        <v>407</v>
      </c>
      <c r="B129" s="1496" t="s">
        <v>208</v>
      </c>
      <c r="C129" s="1496"/>
      <c r="D129" s="1679" t="s">
        <v>398</v>
      </c>
      <c r="E129" s="1389"/>
      <c r="F129" s="1389"/>
      <c r="G129" s="1389"/>
      <c r="H129" s="1389"/>
      <c r="I129" s="1389"/>
      <c r="J129" s="1680"/>
      <c r="K129" s="608"/>
      <c r="L129" s="789"/>
    </row>
    <row r="130" spans="1:12" s="16" customFormat="1" ht="78.599999999999994" customHeight="1" thickBot="1">
      <c r="A130" s="356" t="s">
        <v>408</v>
      </c>
      <c r="B130" s="1342" t="s">
        <v>350</v>
      </c>
      <c r="C130" s="1342"/>
      <c r="D130" s="1343" t="s">
        <v>360</v>
      </c>
      <c r="E130" s="1344"/>
      <c r="F130" s="1344"/>
      <c r="G130" s="1344"/>
      <c r="H130" s="1344"/>
      <c r="I130" s="1344"/>
      <c r="J130" s="1345"/>
      <c r="K130" s="608"/>
      <c r="L130" s="789"/>
    </row>
    <row r="131" spans="1:12" s="16" customFormat="1" ht="12" customHeight="1" thickTop="1">
      <c r="A131" s="509"/>
      <c r="B131" s="805"/>
      <c r="C131" s="805"/>
      <c r="D131" s="805"/>
      <c r="E131" s="805"/>
      <c r="F131" s="805"/>
      <c r="G131" s="290"/>
      <c r="H131" s="290"/>
      <c r="I131" s="633"/>
      <c r="J131" s="509"/>
      <c r="K131" s="501"/>
      <c r="L131" s="789"/>
    </row>
    <row r="132" spans="1:12" s="16" customFormat="1" ht="12" customHeight="1">
      <c r="A132" s="805"/>
      <c r="B132" s="805"/>
      <c r="C132" s="805"/>
      <c r="D132" s="805"/>
      <c r="E132" s="805"/>
      <c r="F132" s="805"/>
      <c r="G132" s="290"/>
      <c r="H132" s="290"/>
      <c r="I132" s="633"/>
      <c r="J132" s="805"/>
      <c r="K132" s="501"/>
      <c r="L132" s="789"/>
    </row>
    <row r="133" spans="1:12" s="16" customFormat="1" ht="12" customHeight="1">
      <c r="A133" s="805"/>
      <c r="B133" s="805"/>
      <c r="C133" s="805"/>
      <c r="D133" s="805"/>
      <c r="E133" s="805"/>
      <c r="F133" s="805"/>
      <c r="G133" s="290"/>
      <c r="H133" s="290"/>
      <c r="I133" s="633"/>
      <c r="J133" s="805"/>
      <c r="K133" s="501"/>
      <c r="L133" s="789"/>
    </row>
    <row r="134" spans="1:12" s="16" customFormat="1" ht="12" customHeight="1" thickBot="1">
      <c r="A134" s="367"/>
      <c r="B134" s="367"/>
      <c r="C134" s="367"/>
      <c r="D134" s="367"/>
      <c r="E134" s="367"/>
      <c r="F134" s="367"/>
      <c r="G134" s="398"/>
      <c r="H134" s="398"/>
      <c r="I134" s="634"/>
      <c r="J134" s="367"/>
      <c r="K134" s="501"/>
      <c r="L134" s="789"/>
    </row>
    <row r="135" spans="1:12" s="16" customFormat="1" ht="13.15" customHeight="1" thickTop="1">
      <c r="A135" s="1681" t="s">
        <v>11</v>
      </c>
      <c r="B135" s="1682"/>
      <c r="C135" s="1682"/>
      <c r="D135" s="1682"/>
      <c r="E135" s="1682"/>
      <c r="F135" s="1682"/>
      <c r="G135" s="1682"/>
      <c r="H135" s="1682"/>
      <c r="I135" s="1682"/>
      <c r="J135" s="1683"/>
      <c r="K135" s="681"/>
      <c r="L135" s="789"/>
    </row>
    <row r="136" spans="1:12" s="16" customFormat="1" ht="13.9" customHeight="1">
      <c r="A136" s="1384" t="s">
        <v>12</v>
      </c>
      <c r="B136" s="1372"/>
      <c r="C136" s="1372"/>
      <c r="D136" s="1372"/>
      <c r="E136" s="1372"/>
      <c r="F136" s="1372"/>
      <c r="G136" s="1372"/>
      <c r="H136" s="1372"/>
      <c r="I136" s="1372"/>
      <c r="J136" s="1470"/>
      <c r="K136" s="682"/>
      <c r="L136" s="789"/>
    </row>
    <row r="137" spans="1:12" s="16" customFormat="1" ht="13.9" customHeight="1">
      <c r="A137" s="1385" t="s">
        <v>374</v>
      </c>
      <c r="B137" s="1386"/>
      <c r="C137" s="1386"/>
      <c r="D137" s="1386"/>
      <c r="E137" s="1386"/>
      <c r="F137" s="1386"/>
      <c r="G137" s="1386"/>
      <c r="H137" s="1386"/>
      <c r="I137" s="1386"/>
      <c r="J137" s="1677"/>
      <c r="K137" s="681"/>
      <c r="L137" s="789"/>
    </row>
    <row r="138" spans="1:12" s="16" customFormat="1" ht="12" customHeight="1">
      <c r="A138" s="1384" t="s">
        <v>13</v>
      </c>
      <c r="B138" s="1372"/>
      <c r="C138" s="1372"/>
      <c r="D138" s="1372"/>
      <c r="E138" s="1372"/>
      <c r="F138" s="1372"/>
      <c r="G138" s="1372"/>
      <c r="H138" s="1372"/>
      <c r="I138" s="1372"/>
      <c r="J138" s="1470"/>
      <c r="K138" s="682"/>
      <c r="L138" s="789"/>
    </row>
    <row r="139" spans="1:12" s="16" customFormat="1" ht="13.9" customHeight="1">
      <c r="A139" s="1339" t="s">
        <v>425</v>
      </c>
      <c r="B139" s="1340"/>
      <c r="C139" s="1340"/>
      <c r="D139" s="1340"/>
      <c r="E139" s="1340"/>
      <c r="F139" s="1340"/>
      <c r="G139" s="1340"/>
      <c r="H139" s="1340"/>
      <c r="I139" s="1340"/>
      <c r="J139" s="1678"/>
      <c r="K139" s="681"/>
      <c r="L139" s="789"/>
    </row>
    <row r="140" spans="1:12" s="16" customFormat="1" ht="13.9" customHeight="1">
      <c r="A140" s="1339" t="s">
        <v>14</v>
      </c>
      <c r="B140" s="1340"/>
      <c r="C140" s="1340"/>
      <c r="D140" s="1340"/>
      <c r="E140" s="1340"/>
      <c r="F140" s="1340"/>
      <c r="G140" s="1340"/>
      <c r="H140" s="1340"/>
      <c r="I140" s="1340"/>
      <c r="J140" s="1678"/>
      <c r="K140" s="681"/>
      <c r="L140" s="789"/>
    </row>
    <row r="141" spans="1:12" s="16" customFormat="1" ht="12" customHeight="1">
      <c r="A141" s="1380" t="s">
        <v>355</v>
      </c>
      <c r="B141" s="1326" t="s">
        <v>285</v>
      </c>
      <c r="C141" s="1326"/>
      <c r="D141" s="1326"/>
      <c r="E141" s="1326"/>
      <c r="F141" s="1326"/>
      <c r="G141" s="178" t="s">
        <v>15</v>
      </c>
      <c r="H141" s="178" t="s">
        <v>16</v>
      </c>
      <c r="I141" s="635" t="s">
        <v>17</v>
      </c>
      <c r="J141" s="661" t="s">
        <v>19</v>
      </c>
      <c r="K141" s="683"/>
      <c r="L141" s="789"/>
    </row>
    <row r="142" spans="1:12" s="16" customFormat="1" ht="25.5">
      <c r="A142" s="1381"/>
      <c r="B142" s="1326"/>
      <c r="C142" s="1326"/>
      <c r="D142" s="1326"/>
      <c r="E142" s="1326"/>
      <c r="F142" s="1326"/>
      <c r="G142" s="844" t="s">
        <v>287</v>
      </c>
      <c r="H142" s="844" t="s">
        <v>288</v>
      </c>
      <c r="I142" s="636" t="s">
        <v>18</v>
      </c>
      <c r="J142" s="845" t="s">
        <v>20</v>
      </c>
      <c r="K142" s="684" t="s">
        <v>531</v>
      </c>
      <c r="L142" s="789"/>
    </row>
    <row r="143" spans="1:12" s="16" customFormat="1" ht="12.6" customHeight="1">
      <c r="A143" s="378"/>
      <c r="B143" s="1316" t="s">
        <v>205</v>
      </c>
      <c r="C143" s="1317"/>
      <c r="D143" s="1317"/>
      <c r="E143" s="1317"/>
      <c r="F143" s="1318"/>
      <c r="G143" s="578"/>
      <c r="H143" s="578"/>
      <c r="I143" s="848"/>
      <c r="J143" s="662"/>
      <c r="K143" s="718"/>
      <c r="L143" s="789"/>
    </row>
    <row r="144" spans="1:12" s="16" customFormat="1" ht="12.6" customHeight="1">
      <c r="A144" s="380">
        <v>1</v>
      </c>
      <c r="B144" s="1322" t="s">
        <v>36</v>
      </c>
      <c r="C144" s="1322"/>
      <c r="D144" s="1322"/>
      <c r="E144" s="1322"/>
      <c r="F144" s="1322"/>
      <c r="G144" s="181"/>
      <c r="H144" s="182"/>
      <c r="I144" s="637"/>
      <c r="J144" s="663">
        <f>ROUND(SUM(J145:J149),2)</f>
        <v>14549.06</v>
      </c>
      <c r="K144" s="719"/>
      <c r="L144" s="789"/>
    </row>
    <row r="145" spans="1:13" s="759" customFormat="1" ht="13.9" customHeight="1">
      <c r="A145" s="755" t="s">
        <v>37</v>
      </c>
      <c r="B145" s="1664" t="s">
        <v>40</v>
      </c>
      <c r="C145" s="1664"/>
      <c r="D145" s="1664"/>
      <c r="E145" s="1664"/>
      <c r="F145" s="1664"/>
      <c r="G145" s="756">
        <v>598.64</v>
      </c>
      <c r="H145" s="757" t="s">
        <v>92</v>
      </c>
      <c r="I145" s="860">
        <f>Plan1!I141*92%</f>
        <v>5.0140000000000002</v>
      </c>
      <c r="J145" s="744">
        <f t="shared" ref="J145:J148" si="0">ROUND(SUM(G145*I145),2)</f>
        <v>3001.58</v>
      </c>
      <c r="K145" s="758" t="s">
        <v>543</v>
      </c>
      <c r="L145" s="791">
        <f>J145</f>
        <v>3001.58</v>
      </c>
      <c r="M145" s="865">
        <f>J144-L145</f>
        <v>11547.48</v>
      </c>
    </row>
    <row r="146" spans="1:13" s="266" customFormat="1" ht="43.9" customHeight="1">
      <c r="A146" s="722" t="s">
        <v>39</v>
      </c>
      <c r="B146" s="1313" t="s">
        <v>364</v>
      </c>
      <c r="C146" s="1314"/>
      <c r="D146" s="1314"/>
      <c r="E146" s="1314"/>
      <c r="F146" s="1315"/>
      <c r="G146" s="184">
        <v>372.46</v>
      </c>
      <c r="H146" s="824" t="s">
        <v>92</v>
      </c>
      <c r="I146" s="861">
        <f>I422</f>
        <v>15</v>
      </c>
      <c r="J146" s="664">
        <f t="shared" si="0"/>
        <v>5586.9</v>
      </c>
      <c r="K146" s="721" t="s">
        <v>551</v>
      </c>
      <c r="L146" s="792"/>
      <c r="M146" s="866"/>
    </row>
    <row r="147" spans="1:13" s="266" customFormat="1" ht="27" customHeight="1">
      <c r="A147" s="722" t="s">
        <v>345</v>
      </c>
      <c r="B147" s="1313" t="s">
        <v>93</v>
      </c>
      <c r="C147" s="1314"/>
      <c r="D147" s="1314"/>
      <c r="E147" s="1314"/>
      <c r="F147" s="1315"/>
      <c r="G147" s="185">
        <v>691.27</v>
      </c>
      <c r="H147" s="523" t="s">
        <v>38</v>
      </c>
      <c r="I147" s="861">
        <v>2.0099999999999998</v>
      </c>
      <c r="J147" s="664">
        <f t="shared" si="0"/>
        <v>1389.45</v>
      </c>
      <c r="K147" s="721" t="s">
        <v>546</v>
      </c>
      <c r="L147" s="792"/>
      <c r="M147" s="866"/>
    </row>
    <row r="148" spans="1:13" s="266" customFormat="1" ht="26.45" customHeight="1">
      <c r="A148" s="722" t="s">
        <v>347</v>
      </c>
      <c r="B148" s="1313" t="s">
        <v>363</v>
      </c>
      <c r="C148" s="1314"/>
      <c r="D148" s="1314"/>
      <c r="E148" s="1314"/>
      <c r="F148" s="1315"/>
      <c r="G148" s="185">
        <v>372.46</v>
      </c>
      <c r="H148" s="523" t="s">
        <v>92</v>
      </c>
      <c r="I148" s="861">
        <v>4.82</v>
      </c>
      <c r="J148" s="664">
        <f t="shared" si="0"/>
        <v>1795.26</v>
      </c>
      <c r="K148" s="721" t="s">
        <v>547</v>
      </c>
      <c r="L148" s="792"/>
      <c r="M148" s="866"/>
    </row>
    <row r="149" spans="1:13" s="266" customFormat="1" ht="27.6" customHeight="1">
      <c r="A149" s="722" t="s">
        <v>349</v>
      </c>
      <c r="B149" s="1313" t="s">
        <v>346</v>
      </c>
      <c r="C149" s="1314"/>
      <c r="D149" s="1314"/>
      <c r="E149" s="1314"/>
      <c r="F149" s="1315"/>
      <c r="G149" s="185">
        <v>241.17</v>
      </c>
      <c r="H149" s="523" t="s">
        <v>96</v>
      </c>
      <c r="I149" s="861">
        <v>11.51</v>
      </c>
      <c r="J149" s="664">
        <f>ROUND(SUM(G149*I149),2)</f>
        <v>2775.87</v>
      </c>
      <c r="K149" s="721" t="s">
        <v>548</v>
      </c>
      <c r="L149" s="792"/>
      <c r="M149" s="866"/>
    </row>
    <row r="150" spans="1:13" s="16" customFormat="1" ht="11.45" customHeight="1">
      <c r="A150" s="382"/>
      <c r="B150" s="1444"/>
      <c r="C150" s="1445"/>
      <c r="D150" s="1445"/>
      <c r="E150" s="1445"/>
      <c r="F150" s="1446"/>
      <c r="G150" s="184"/>
      <c r="H150" s="823"/>
      <c r="I150" s="190"/>
      <c r="J150" s="665"/>
      <c r="K150" s="685"/>
      <c r="L150" s="789"/>
      <c r="M150" s="800"/>
    </row>
    <row r="151" spans="1:13" s="16" customFormat="1" ht="13.9" customHeight="1">
      <c r="A151" s="380">
        <v>2</v>
      </c>
      <c r="B151" s="1322" t="s">
        <v>42</v>
      </c>
      <c r="C151" s="1322"/>
      <c r="D151" s="1322"/>
      <c r="E151" s="1322"/>
      <c r="F151" s="1322"/>
      <c r="G151" s="291"/>
      <c r="H151" s="182"/>
      <c r="I151" s="638"/>
      <c r="J151" s="666">
        <f>SUM(J152:J155)</f>
        <v>59299.51</v>
      </c>
      <c r="K151" s="532"/>
      <c r="L151" s="789"/>
      <c r="M151" s="800"/>
    </row>
    <row r="152" spans="1:13" s="759" customFormat="1" ht="13.9" customHeight="1">
      <c r="A152" s="760" t="s">
        <v>84</v>
      </c>
      <c r="B152" s="1663" t="s">
        <v>44</v>
      </c>
      <c r="C152" s="1663"/>
      <c r="D152" s="1663"/>
      <c r="E152" s="1663"/>
      <c r="F152" s="1663"/>
      <c r="G152" s="761">
        <v>6306</v>
      </c>
      <c r="H152" s="757" t="s">
        <v>50</v>
      </c>
      <c r="I152" s="860">
        <f>Plan1!I144*92%</f>
        <v>5.0784000000000002</v>
      </c>
      <c r="J152" s="745">
        <f>ROUND(G152*I152,2)</f>
        <v>32024.39</v>
      </c>
      <c r="K152" s="1651" t="s">
        <v>543</v>
      </c>
      <c r="L152" s="791">
        <f>J152</f>
        <v>32024.39</v>
      </c>
      <c r="M152" s="865"/>
    </row>
    <row r="153" spans="1:13" s="759" customFormat="1" ht="13.9" customHeight="1">
      <c r="A153" s="760" t="s">
        <v>43</v>
      </c>
      <c r="B153" s="1663" t="s">
        <v>46</v>
      </c>
      <c r="C153" s="1663"/>
      <c r="D153" s="1663"/>
      <c r="E153" s="1663"/>
      <c r="F153" s="1663"/>
      <c r="G153" s="756">
        <v>85.14</v>
      </c>
      <c r="H153" s="757" t="s">
        <v>92</v>
      </c>
      <c r="I153" s="860">
        <f>Plan1!I145*92%</f>
        <v>227.6172</v>
      </c>
      <c r="J153" s="745">
        <f t="shared" ref="J153:J155" si="1">ROUND(G153*I153,2)</f>
        <v>19379.330000000002</v>
      </c>
      <c r="K153" s="1652"/>
      <c r="L153" s="791">
        <f t="shared" ref="L153:L155" si="2">J153</f>
        <v>19379.330000000002</v>
      </c>
      <c r="M153" s="865"/>
    </row>
    <row r="154" spans="1:13" s="759" customFormat="1" ht="13.9" customHeight="1">
      <c r="A154" s="760" t="s">
        <v>240</v>
      </c>
      <c r="B154" s="1663" t="s">
        <v>321</v>
      </c>
      <c r="C154" s="1663"/>
      <c r="D154" s="1663"/>
      <c r="E154" s="1663"/>
      <c r="F154" s="1663"/>
      <c r="G154" s="756">
        <v>85.14</v>
      </c>
      <c r="H154" s="757" t="s">
        <v>92</v>
      </c>
      <c r="I154" s="860">
        <f>Plan1!I146*92%</f>
        <v>55.384000000000007</v>
      </c>
      <c r="J154" s="745">
        <f t="shared" si="1"/>
        <v>4715.3900000000003</v>
      </c>
      <c r="K154" s="1652"/>
      <c r="L154" s="791">
        <f t="shared" si="2"/>
        <v>4715.3900000000003</v>
      </c>
      <c r="M154" s="865"/>
    </row>
    <row r="155" spans="1:13" s="759" customFormat="1" ht="13.9" customHeight="1">
      <c r="A155" s="760" t="s">
        <v>45</v>
      </c>
      <c r="B155" s="1663" t="s">
        <v>49</v>
      </c>
      <c r="C155" s="1663"/>
      <c r="D155" s="1663"/>
      <c r="E155" s="1663"/>
      <c r="F155" s="1663"/>
      <c r="G155" s="756">
        <v>96</v>
      </c>
      <c r="H155" s="757" t="s">
        <v>52</v>
      </c>
      <c r="I155" s="860">
        <f>Plan1!I147*92%</f>
        <v>33.129199999999997</v>
      </c>
      <c r="J155" s="745">
        <f t="shared" si="1"/>
        <v>3180.4</v>
      </c>
      <c r="K155" s="1653"/>
      <c r="L155" s="791">
        <f t="shared" si="2"/>
        <v>3180.4</v>
      </c>
      <c r="M155" s="865"/>
    </row>
    <row r="156" spans="1:13" s="16" customFormat="1" ht="12" customHeight="1">
      <c r="A156" s="564"/>
      <c r="B156" s="829"/>
      <c r="C156" s="829"/>
      <c r="D156" s="829"/>
      <c r="E156" s="829"/>
      <c r="F156" s="829"/>
      <c r="G156" s="522"/>
      <c r="H156" s="825"/>
      <c r="I156" s="639"/>
      <c r="J156" s="563"/>
      <c r="K156" s="685"/>
      <c r="L156" s="793"/>
      <c r="M156" s="800"/>
    </row>
    <row r="157" spans="1:13" s="16" customFormat="1" ht="13.9" customHeight="1">
      <c r="A157" s="439">
        <v>3</v>
      </c>
      <c r="B157" s="1301" t="s">
        <v>53</v>
      </c>
      <c r="C157" s="1302"/>
      <c r="D157" s="1302"/>
      <c r="E157" s="1302"/>
      <c r="F157" s="1303"/>
      <c r="G157" s="549"/>
      <c r="H157" s="222"/>
      <c r="I157" s="640"/>
      <c r="J157" s="667">
        <f>SUM(J158)</f>
        <v>3159.05</v>
      </c>
      <c r="K157" s="532"/>
      <c r="L157" s="789"/>
      <c r="M157" s="800"/>
    </row>
    <row r="158" spans="1:13" s="759" customFormat="1" ht="16.899999999999999" customHeight="1">
      <c r="A158" s="760" t="s">
        <v>54</v>
      </c>
      <c r="B158" s="1648" t="s">
        <v>313</v>
      </c>
      <c r="C158" s="1649"/>
      <c r="D158" s="1649"/>
      <c r="E158" s="1649"/>
      <c r="F158" s="1650"/>
      <c r="G158" s="762">
        <v>68.13</v>
      </c>
      <c r="H158" s="757" t="s">
        <v>96</v>
      </c>
      <c r="I158" s="860">
        <f>Plan1!I150*92%</f>
        <v>46.368000000000002</v>
      </c>
      <c r="J158" s="746">
        <f>ROUND(G158*I158,2)</f>
        <v>3159.05</v>
      </c>
      <c r="K158" s="763" t="s">
        <v>543</v>
      </c>
      <c r="L158" s="791">
        <f>J158</f>
        <v>3159.05</v>
      </c>
      <c r="M158" s="865"/>
    </row>
    <row r="159" spans="1:13" s="16" customFormat="1" ht="12" customHeight="1">
      <c r="A159" s="358"/>
      <c r="B159" s="1356"/>
      <c r="C159" s="1356"/>
      <c r="D159" s="1356"/>
      <c r="E159" s="1356"/>
      <c r="F159" s="1356"/>
      <c r="G159" s="178"/>
      <c r="H159" s="195"/>
      <c r="I159" s="190"/>
      <c r="J159" s="668"/>
      <c r="K159" s="689"/>
      <c r="L159" s="789"/>
      <c r="M159" s="800"/>
    </row>
    <row r="160" spans="1:13" s="16" customFormat="1" ht="13.9" customHeight="1">
      <c r="A160" s="380">
        <v>4</v>
      </c>
      <c r="B160" s="1322" t="s">
        <v>63</v>
      </c>
      <c r="C160" s="1322"/>
      <c r="D160" s="1322"/>
      <c r="E160" s="1322"/>
      <c r="F160" s="1322"/>
      <c r="G160" s="182"/>
      <c r="H160" s="189"/>
      <c r="I160" s="638"/>
      <c r="J160" s="666">
        <f>SUM(J161:J166)</f>
        <v>49224.04</v>
      </c>
      <c r="K160" s="532"/>
      <c r="L160" s="789"/>
      <c r="M160" s="800"/>
    </row>
    <row r="161" spans="1:13" s="759" customFormat="1" ht="13.9" customHeight="1">
      <c r="A161" s="764" t="s">
        <v>58</v>
      </c>
      <c r="B161" s="1664" t="s">
        <v>44</v>
      </c>
      <c r="C161" s="1664"/>
      <c r="D161" s="1664"/>
      <c r="E161" s="1664"/>
      <c r="F161" s="1664"/>
      <c r="G161" s="761">
        <v>957.6</v>
      </c>
      <c r="H161" s="757" t="s">
        <v>50</v>
      </c>
      <c r="I161" s="860">
        <f>Plan1!I153*92%</f>
        <v>5.0784000000000002</v>
      </c>
      <c r="J161" s="747">
        <f>ROUND(G161*I161,2)</f>
        <v>4863.08</v>
      </c>
      <c r="K161" s="1651" t="s">
        <v>543</v>
      </c>
      <c r="L161" s="791">
        <f>J161</f>
        <v>4863.08</v>
      </c>
      <c r="M161" s="865"/>
    </row>
    <row r="162" spans="1:13" s="765" customFormat="1" ht="13.9" customHeight="1">
      <c r="A162" s="764" t="s">
        <v>59</v>
      </c>
      <c r="B162" s="1664" t="s">
        <v>56</v>
      </c>
      <c r="C162" s="1664"/>
      <c r="D162" s="1664"/>
      <c r="E162" s="1664"/>
      <c r="F162" s="1664"/>
      <c r="G162" s="761">
        <v>77.599999999999994</v>
      </c>
      <c r="H162" s="757" t="s">
        <v>38</v>
      </c>
      <c r="I162" s="860">
        <f>Plan1!I154*92%</f>
        <v>42.264800000000001</v>
      </c>
      <c r="J162" s="747">
        <f t="shared" ref="J162:J166" si="3">ROUND(G162*I162,2)</f>
        <v>3279.75</v>
      </c>
      <c r="K162" s="1652"/>
      <c r="L162" s="791">
        <f t="shared" ref="L162:L165" si="4">J162</f>
        <v>3279.75</v>
      </c>
      <c r="M162" s="867"/>
    </row>
    <row r="163" spans="1:13" s="765" customFormat="1" ht="13.9" customHeight="1">
      <c r="A163" s="764" t="s">
        <v>60</v>
      </c>
      <c r="B163" s="1664" t="s">
        <v>46</v>
      </c>
      <c r="C163" s="1664"/>
      <c r="D163" s="1664"/>
      <c r="E163" s="1664"/>
      <c r="F163" s="1664"/>
      <c r="G163" s="761">
        <v>11.97</v>
      </c>
      <c r="H163" s="757" t="s">
        <v>51</v>
      </c>
      <c r="I163" s="860">
        <f>Plan1!I155*92%</f>
        <v>227.6172</v>
      </c>
      <c r="J163" s="747">
        <f t="shared" si="3"/>
        <v>2724.58</v>
      </c>
      <c r="K163" s="1652"/>
      <c r="L163" s="791">
        <f t="shared" si="4"/>
        <v>2724.58</v>
      </c>
      <c r="M163" s="867"/>
    </row>
    <row r="164" spans="1:13" s="765" customFormat="1" ht="13.9" customHeight="1">
      <c r="A164" s="764" t="s">
        <v>61</v>
      </c>
      <c r="B164" s="1664" t="s">
        <v>321</v>
      </c>
      <c r="C164" s="1664"/>
      <c r="D164" s="1664"/>
      <c r="E164" s="1664"/>
      <c r="F164" s="1664"/>
      <c r="G164" s="761">
        <v>11.97</v>
      </c>
      <c r="H164" s="757" t="s">
        <v>51</v>
      </c>
      <c r="I164" s="860">
        <f>Plan1!I156*92%</f>
        <v>55.384000000000007</v>
      </c>
      <c r="J164" s="747">
        <f t="shared" si="3"/>
        <v>662.95</v>
      </c>
      <c r="K164" s="1652"/>
      <c r="L164" s="791">
        <f t="shared" si="4"/>
        <v>662.95</v>
      </c>
      <c r="M164" s="867"/>
    </row>
    <row r="165" spans="1:13" s="765" customFormat="1" ht="26.45" customHeight="1">
      <c r="A165" s="764" t="s">
        <v>62</v>
      </c>
      <c r="B165" s="1663" t="s">
        <v>57</v>
      </c>
      <c r="C165" s="1663"/>
      <c r="D165" s="1663"/>
      <c r="E165" s="1663"/>
      <c r="F165" s="1663"/>
      <c r="G165" s="761">
        <v>38</v>
      </c>
      <c r="H165" s="757" t="s">
        <v>96</v>
      </c>
      <c r="I165" s="860">
        <v>736.75</v>
      </c>
      <c r="J165" s="747">
        <f t="shared" si="3"/>
        <v>27996.5</v>
      </c>
      <c r="K165" s="1653"/>
      <c r="L165" s="791">
        <f t="shared" si="4"/>
        <v>27996.5</v>
      </c>
      <c r="M165" s="867"/>
    </row>
    <row r="166" spans="1:13" s="266" customFormat="1" ht="26.45" customHeight="1">
      <c r="A166" s="731" t="s">
        <v>597</v>
      </c>
      <c r="B166" s="1660" t="s">
        <v>57</v>
      </c>
      <c r="C166" s="1660"/>
      <c r="D166" s="1660"/>
      <c r="E166" s="1660"/>
      <c r="F166" s="1660"/>
      <c r="G166" s="554">
        <v>9.17</v>
      </c>
      <c r="H166" s="237" t="s">
        <v>96</v>
      </c>
      <c r="I166" s="861">
        <v>1057.49</v>
      </c>
      <c r="J166" s="669">
        <f t="shared" si="3"/>
        <v>9697.18</v>
      </c>
      <c r="K166" s="721" t="s">
        <v>549</v>
      </c>
      <c r="L166" s="792"/>
      <c r="M166" s="866"/>
    </row>
    <row r="167" spans="1:13" s="16" customFormat="1" ht="12.6" customHeight="1">
      <c r="A167" s="391"/>
      <c r="B167" s="849"/>
      <c r="C167" s="850"/>
      <c r="D167" s="850"/>
      <c r="E167" s="850"/>
      <c r="F167" s="851"/>
      <c r="G167" s="201"/>
      <c r="H167" s="202"/>
      <c r="I167" s="196"/>
      <c r="J167" s="671"/>
      <c r="K167" s="690"/>
      <c r="L167" s="789"/>
      <c r="M167" s="800"/>
    </row>
    <row r="168" spans="1:13" s="16" customFormat="1" ht="13.15" customHeight="1">
      <c r="A168" s="393">
        <v>5</v>
      </c>
      <c r="B168" s="1336" t="s">
        <v>78</v>
      </c>
      <c r="C168" s="1337"/>
      <c r="D168" s="1337"/>
      <c r="E168" s="1337"/>
      <c r="F168" s="1338"/>
      <c r="G168" s="292"/>
      <c r="H168" s="204"/>
      <c r="I168" s="276"/>
      <c r="J168" s="667">
        <f>SUM(J169:J179)</f>
        <v>78444.876300000004</v>
      </c>
      <c r="K168" s="532"/>
      <c r="L168" s="789"/>
      <c r="M168" s="800"/>
    </row>
    <row r="169" spans="1:13" s="759" customFormat="1" ht="15" customHeight="1">
      <c r="A169" s="760" t="s">
        <v>71</v>
      </c>
      <c r="B169" s="1664" t="s">
        <v>65</v>
      </c>
      <c r="C169" s="1664"/>
      <c r="D169" s="1664"/>
      <c r="E169" s="1664"/>
      <c r="F169" s="1664"/>
      <c r="G169" s="767">
        <v>467</v>
      </c>
      <c r="H169" s="757" t="s">
        <v>96</v>
      </c>
      <c r="I169" s="860">
        <f>Plan1!I160*92%</f>
        <v>3.5420000000000003</v>
      </c>
      <c r="J169" s="747">
        <f>ROUND(G169*I169,2)</f>
        <v>1654.11</v>
      </c>
      <c r="K169" s="763" t="s">
        <v>543</v>
      </c>
      <c r="L169" s="791">
        <f>J169</f>
        <v>1654.11</v>
      </c>
      <c r="M169" s="865"/>
    </row>
    <row r="170" spans="1:13" s="765" customFormat="1" ht="15" customHeight="1">
      <c r="A170" s="760" t="s">
        <v>72</v>
      </c>
      <c r="B170" s="1664" t="s">
        <v>66</v>
      </c>
      <c r="C170" s="1664"/>
      <c r="D170" s="1664"/>
      <c r="E170" s="1664"/>
      <c r="F170" s="1664"/>
      <c r="G170" s="767">
        <v>467</v>
      </c>
      <c r="H170" s="757" t="s">
        <v>96</v>
      </c>
      <c r="I170" s="860">
        <f>Plan1!I161*92%</f>
        <v>10.4604</v>
      </c>
      <c r="J170" s="747">
        <f t="shared" ref="J170:J171" si="5">ROUND(G170*I170,2)</f>
        <v>4885.01</v>
      </c>
      <c r="K170" s="763" t="s">
        <v>543</v>
      </c>
      <c r="L170" s="791">
        <f t="shared" ref="L170:L172" si="6">J170</f>
        <v>4885.01</v>
      </c>
      <c r="M170" s="867"/>
    </row>
    <row r="171" spans="1:13" s="765" customFormat="1" ht="30" customHeight="1">
      <c r="A171" s="760" t="s">
        <v>73</v>
      </c>
      <c r="B171" s="1674" t="s">
        <v>320</v>
      </c>
      <c r="C171" s="1675"/>
      <c r="D171" s="1675"/>
      <c r="E171" s="1675"/>
      <c r="F171" s="1676"/>
      <c r="G171" s="767">
        <v>467</v>
      </c>
      <c r="H171" s="768" t="s">
        <v>96</v>
      </c>
      <c r="I171" s="860">
        <f>Plan1!I162*92%</f>
        <v>20.9024</v>
      </c>
      <c r="J171" s="748">
        <f t="shared" si="5"/>
        <v>9761.42</v>
      </c>
      <c r="K171" s="763" t="s">
        <v>543</v>
      </c>
      <c r="L171" s="791">
        <f t="shared" si="6"/>
        <v>9761.42</v>
      </c>
      <c r="M171" s="867"/>
    </row>
    <row r="172" spans="1:13" s="765" customFormat="1" ht="30" customHeight="1">
      <c r="A172" s="769" t="s">
        <v>74</v>
      </c>
      <c r="B172" s="1666" t="s">
        <v>516</v>
      </c>
      <c r="C172" s="1666"/>
      <c r="D172" s="1666"/>
      <c r="E172" s="1666"/>
      <c r="F172" s="1666"/>
      <c r="G172" s="767">
        <v>250</v>
      </c>
      <c r="H172" s="768" t="s">
        <v>96</v>
      </c>
      <c r="I172" s="860">
        <v>33.229999999999997</v>
      </c>
      <c r="J172" s="748">
        <f>I172*G172</f>
        <v>8307.5</v>
      </c>
      <c r="K172" s="763" t="s">
        <v>543</v>
      </c>
      <c r="L172" s="791">
        <f t="shared" si="6"/>
        <v>8307.5</v>
      </c>
      <c r="M172" s="867"/>
    </row>
    <row r="173" spans="1:13" s="17" customFormat="1" ht="27.6" customHeight="1">
      <c r="A173" s="722" t="s">
        <v>598</v>
      </c>
      <c r="B173" s="1507" t="s">
        <v>516</v>
      </c>
      <c r="C173" s="1507"/>
      <c r="D173" s="1507"/>
      <c r="E173" s="1507"/>
      <c r="F173" s="1507"/>
      <c r="G173" s="208">
        <v>217.12515946137495</v>
      </c>
      <c r="H173" s="195" t="s">
        <v>96</v>
      </c>
      <c r="I173" s="861">
        <v>70.55</v>
      </c>
      <c r="J173" s="673">
        <f>I173*G173</f>
        <v>15318.180000000002</v>
      </c>
      <c r="K173" s="721" t="s">
        <v>550</v>
      </c>
      <c r="L173" s="789"/>
      <c r="M173" s="801"/>
    </row>
    <row r="174" spans="1:13" s="765" customFormat="1" ht="15" customHeight="1">
      <c r="A174" s="760" t="s">
        <v>75</v>
      </c>
      <c r="B174" s="1663" t="s">
        <v>68</v>
      </c>
      <c r="C174" s="1663"/>
      <c r="D174" s="1663"/>
      <c r="E174" s="1663"/>
      <c r="F174" s="1663"/>
      <c r="G174" s="761">
        <v>23.38</v>
      </c>
      <c r="H174" s="757" t="s">
        <v>92</v>
      </c>
      <c r="I174" s="860">
        <f>Plan1!I164*92%</f>
        <v>468.04080000000005</v>
      </c>
      <c r="J174" s="747">
        <f>ROUND(G174*I174,2)</f>
        <v>10942.79</v>
      </c>
      <c r="K174" s="763" t="s">
        <v>543</v>
      </c>
      <c r="L174" s="791">
        <f>J174</f>
        <v>10942.79</v>
      </c>
      <c r="M174" s="867"/>
    </row>
    <row r="175" spans="1:13" s="765" customFormat="1" ht="15" customHeight="1">
      <c r="A175" s="760" t="s">
        <v>76</v>
      </c>
      <c r="B175" s="1663" t="s">
        <v>69</v>
      </c>
      <c r="C175" s="1663"/>
      <c r="D175" s="1663"/>
      <c r="E175" s="1663"/>
      <c r="F175" s="1663"/>
      <c r="G175" s="761">
        <v>250</v>
      </c>
      <c r="H175" s="757" t="s">
        <v>96</v>
      </c>
      <c r="I175" s="860">
        <v>39.159999999999997</v>
      </c>
      <c r="J175" s="747">
        <f>ROUND(G175*I175,2)</f>
        <v>9790</v>
      </c>
      <c r="K175" s="763" t="s">
        <v>543</v>
      </c>
      <c r="L175" s="791">
        <f>J175</f>
        <v>9790</v>
      </c>
      <c r="M175" s="867"/>
    </row>
    <row r="176" spans="1:13" s="17" customFormat="1" ht="43.9" customHeight="1">
      <c r="A176" s="723" t="s">
        <v>599</v>
      </c>
      <c r="B176" s="1523" t="s">
        <v>69</v>
      </c>
      <c r="C176" s="1524"/>
      <c r="D176" s="1524"/>
      <c r="E176" s="1524"/>
      <c r="F176" s="1525"/>
      <c r="G176" s="236">
        <v>217.47</v>
      </c>
      <c r="H176" s="237" t="s">
        <v>96</v>
      </c>
      <c r="I176" s="861">
        <f>Plan1!I165*92%</f>
        <v>39.155200000000001</v>
      </c>
      <c r="J176" s="669">
        <f>ROUND(G176*I176,2)</f>
        <v>8515.08</v>
      </c>
      <c r="K176" s="721" t="s">
        <v>551</v>
      </c>
      <c r="L176" s="789"/>
      <c r="M176" s="801"/>
    </row>
    <row r="177" spans="1:13" s="765" customFormat="1" ht="39.6" customHeight="1">
      <c r="A177" s="760" t="s">
        <v>77</v>
      </c>
      <c r="B177" s="1663" t="s">
        <v>533</v>
      </c>
      <c r="C177" s="1663"/>
      <c r="D177" s="1663"/>
      <c r="E177" s="1663"/>
      <c r="F177" s="1663"/>
      <c r="G177" s="761">
        <v>250</v>
      </c>
      <c r="H177" s="757" t="s">
        <v>96</v>
      </c>
      <c r="I177" s="860">
        <v>5.76</v>
      </c>
      <c r="J177" s="747">
        <f>ROUND(G177*I177,2)</f>
        <v>1440</v>
      </c>
      <c r="K177" s="763" t="s">
        <v>543</v>
      </c>
      <c r="L177" s="791">
        <f>J177</f>
        <v>1440</v>
      </c>
      <c r="M177" s="867"/>
    </row>
    <row r="178" spans="1:13" s="17" customFormat="1" ht="39.6" customHeight="1">
      <c r="A178" s="723" t="s">
        <v>600</v>
      </c>
      <c r="B178" s="1335" t="s">
        <v>533</v>
      </c>
      <c r="C178" s="1335"/>
      <c r="D178" s="1335"/>
      <c r="E178" s="1335"/>
      <c r="F178" s="1335"/>
      <c r="G178" s="196">
        <v>217</v>
      </c>
      <c r="H178" s="186" t="s">
        <v>96</v>
      </c>
      <c r="I178" s="861">
        <v>0</v>
      </c>
      <c r="J178" s="669">
        <f>ROUND(G178*I178,2)</f>
        <v>0</v>
      </c>
      <c r="K178" s="721" t="s">
        <v>532</v>
      </c>
      <c r="L178" s="789"/>
      <c r="M178" s="801"/>
    </row>
    <row r="179" spans="1:13" s="17" customFormat="1" ht="29.45" customHeight="1">
      <c r="A179" s="397" t="s">
        <v>337</v>
      </c>
      <c r="B179" s="1671" t="s">
        <v>334</v>
      </c>
      <c r="C179" s="1672"/>
      <c r="D179" s="1672"/>
      <c r="E179" s="1672"/>
      <c r="F179" s="1673"/>
      <c r="G179" s="201">
        <v>15.63</v>
      </c>
      <c r="H179" s="583" t="s">
        <v>92</v>
      </c>
      <c r="I179" s="861">
        <v>501.01</v>
      </c>
      <c r="J179" s="674">
        <f>SUM(G179*I179)</f>
        <v>7830.7863000000007</v>
      </c>
      <c r="K179" s="721" t="s">
        <v>552</v>
      </c>
      <c r="L179" s="789"/>
      <c r="M179" s="801"/>
    </row>
    <row r="180" spans="1:13" s="17" customFormat="1" ht="10.9" customHeight="1">
      <c r="A180" s="551"/>
      <c r="B180" s="849"/>
      <c r="C180" s="850"/>
      <c r="D180" s="850"/>
      <c r="E180" s="850"/>
      <c r="F180" s="851"/>
      <c r="G180" s="201"/>
      <c r="H180" s="583"/>
      <c r="I180" s="641"/>
      <c r="J180" s="674"/>
      <c r="K180" s="686"/>
      <c r="L180" s="789"/>
      <c r="M180" s="801"/>
    </row>
    <row r="181" spans="1:13" s="17" customFormat="1" ht="15" customHeight="1">
      <c r="A181" s="408">
        <v>6</v>
      </c>
      <c r="B181" s="1301" t="s">
        <v>82</v>
      </c>
      <c r="C181" s="1302"/>
      <c r="D181" s="1302"/>
      <c r="E181" s="1302"/>
      <c r="F181" s="1303"/>
      <c r="G181" s="372"/>
      <c r="H181" s="222"/>
      <c r="I181" s="637"/>
      <c r="J181" s="667">
        <f>SUM(J182)</f>
        <v>9200</v>
      </c>
      <c r="K181" s="532"/>
      <c r="L181" s="789"/>
      <c r="M181" s="801"/>
    </row>
    <row r="182" spans="1:13" s="17" customFormat="1" ht="42" customHeight="1">
      <c r="A182" s="723" t="s">
        <v>81</v>
      </c>
      <c r="B182" s="1514" t="s">
        <v>79</v>
      </c>
      <c r="C182" s="1515"/>
      <c r="D182" s="1515"/>
      <c r="E182" s="1515"/>
      <c r="F182" s="1516"/>
      <c r="G182" s="724">
        <v>1</v>
      </c>
      <c r="H182" s="237" t="s">
        <v>80</v>
      </c>
      <c r="I182" s="861">
        <f>Plan1!I168*92%</f>
        <v>9200</v>
      </c>
      <c r="J182" s="669">
        <f>I182</f>
        <v>9200</v>
      </c>
      <c r="K182" s="721" t="s">
        <v>551</v>
      </c>
      <c r="L182" s="789"/>
      <c r="M182" s="789">
        <f>SUM(L145:L179)</f>
        <v>151767.82999999999</v>
      </c>
    </row>
    <row r="183" spans="1:13" s="17" customFormat="1" ht="12" customHeight="1">
      <c r="A183" s="385"/>
      <c r="B183" s="828"/>
      <c r="C183" s="829"/>
      <c r="D183" s="829"/>
      <c r="E183" s="829"/>
      <c r="F183" s="830"/>
      <c r="G183" s="213"/>
      <c r="H183" s="823"/>
      <c r="I183" s="190"/>
      <c r="J183" s="672"/>
      <c r="K183" s="690"/>
      <c r="L183" s="789"/>
      <c r="M183" s="801"/>
    </row>
    <row r="184" spans="1:13" s="17" customFormat="1" ht="15" customHeight="1">
      <c r="A184" s="565"/>
      <c r="B184" s="566"/>
      <c r="C184" s="566"/>
      <c r="D184" s="566"/>
      <c r="E184" s="566"/>
      <c r="F184" s="566"/>
      <c r="G184" s="567"/>
      <c r="H184" s="568" t="s">
        <v>286</v>
      </c>
      <c r="I184" s="642"/>
      <c r="J184" s="675">
        <f>(J144+J151+J157+J160+J168+J181)-M182</f>
        <v>62108.70630000002</v>
      </c>
      <c r="K184" s="725"/>
      <c r="L184" s="789"/>
      <c r="M184" s="801"/>
    </row>
    <row r="185" spans="1:13" s="16" customFormat="1" ht="11.45" customHeight="1">
      <c r="A185" s="846"/>
      <c r="B185" s="820"/>
      <c r="C185" s="820"/>
      <c r="D185" s="820"/>
      <c r="E185" s="820"/>
      <c r="F185" s="820"/>
      <c r="G185" s="821"/>
      <c r="H185" s="825"/>
      <c r="I185" s="529"/>
      <c r="J185" s="676"/>
      <c r="K185" s="691"/>
      <c r="L185" s="793"/>
      <c r="M185" s="800"/>
    </row>
    <row r="186" spans="1:13" s="16" customFormat="1" ht="15" customHeight="1">
      <c r="A186" s="417"/>
      <c r="B186" s="1316" t="s">
        <v>311</v>
      </c>
      <c r="C186" s="1317"/>
      <c r="D186" s="1317"/>
      <c r="E186" s="1317"/>
      <c r="F186" s="1318"/>
      <c r="G186" s="182"/>
      <c r="H186" s="524"/>
      <c r="I186" s="637"/>
      <c r="J186" s="677"/>
      <c r="K186" s="726"/>
      <c r="L186" s="793"/>
      <c r="M186" s="800"/>
    </row>
    <row r="187" spans="1:13" s="16" customFormat="1" ht="15" customHeight="1">
      <c r="A187" s="380">
        <v>1</v>
      </c>
      <c r="B187" s="1301" t="s">
        <v>36</v>
      </c>
      <c r="C187" s="1302"/>
      <c r="D187" s="1302"/>
      <c r="E187" s="1302"/>
      <c r="F187" s="1303"/>
      <c r="G187" s="182"/>
      <c r="H187" s="524"/>
      <c r="I187" s="637"/>
      <c r="J187" s="678">
        <f>J188</f>
        <v>186.32</v>
      </c>
      <c r="K187" s="533"/>
      <c r="L187" s="789"/>
      <c r="M187" s="800"/>
    </row>
    <row r="188" spans="1:13" s="759" customFormat="1" ht="15" customHeight="1">
      <c r="A188" s="760" t="s">
        <v>37</v>
      </c>
      <c r="B188" s="1648" t="s">
        <v>83</v>
      </c>
      <c r="C188" s="1649"/>
      <c r="D188" s="1649"/>
      <c r="E188" s="1649"/>
      <c r="F188" s="1650"/>
      <c r="G188" s="762">
        <v>28.89</v>
      </c>
      <c r="H188" s="770" t="s">
        <v>38</v>
      </c>
      <c r="I188" s="860">
        <f>Plan1!I190*92%</f>
        <v>6.4492000000000003</v>
      </c>
      <c r="J188" s="749">
        <f>ROUND(G188*I188,2)</f>
        <v>186.32</v>
      </c>
      <c r="K188" s="763" t="s">
        <v>543</v>
      </c>
      <c r="L188" s="791">
        <f>J188</f>
        <v>186.32</v>
      </c>
      <c r="M188" s="865"/>
    </row>
    <row r="189" spans="1:13" s="16" customFormat="1" ht="10.9" customHeight="1">
      <c r="A189" s="382"/>
      <c r="B189" s="813"/>
      <c r="C189" s="814"/>
      <c r="D189" s="814"/>
      <c r="E189" s="814"/>
      <c r="F189" s="815"/>
      <c r="G189" s="217"/>
      <c r="H189" s="525"/>
      <c r="I189" s="190"/>
      <c r="J189" s="679"/>
      <c r="K189" s="690"/>
      <c r="L189" s="789"/>
      <c r="M189" s="800"/>
    </row>
    <row r="190" spans="1:13" s="16" customFormat="1" ht="15" customHeight="1">
      <c r="A190" s="380">
        <v>2</v>
      </c>
      <c r="B190" s="1301" t="s">
        <v>91</v>
      </c>
      <c r="C190" s="1302"/>
      <c r="D190" s="1302"/>
      <c r="E190" s="1302"/>
      <c r="F190" s="1303"/>
      <c r="G190" s="221"/>
      <c r="H190" s="526"/>
      <c r="I190" s="638"/>
      <c r="J190" s="678">
        <f>SUM(J191:J196)</f>
        <v>2360.84</v>
      </c>
      <c r="K190" s="533"/>
      <c r="L190" s="789"/>
      <c r="M190" s="800"/>
    </row>
    <row r="191" spans="1:13" s="759" customFormat="1" ht="15" customHeight="1">
      <c r="A191" s="760" t="s">
        <v>84</v>
      </c>
      <c r="B191" s="1654" t="s">
        <v>85</v>
      </c>
      <c r="C191" s="1655"/>
      <c r="D191" s="1655"/>
      <c r="E191" s="1655"/>
      <c r="F191" s="1656"/>
      <c r="G191" s="767">
        <v>2.08</v>
      </c>
      <c r="H191" s="770" t="s">
        <v>51</v>
      </c>
      <c r="I191" s="860">
        <f>Plan1!I193*92%</f>
        <v>28.566000000000003</v>
      </c>
      <c r="J191" s="750">
        <f>ROUND(G191*I191,2)</f>
        <v>59.42</v>
      </c>
      <c r="K191" s="1651" t="s">
        <v>543</v>
      </c>
      <c r="L191" s="791">
        <f>J191</f>
        <v>59.42</v>
      </c>
      <c r="M191" s="865"/>
    </row>
    <row r="192" spans="1:13" s="759" customFormat="1" ht="15" customHeight="1">
      <c r="A192" s="760" t="s">
        <v>43</v>
      </c>
      <c r="B192" s="1668" t="s">
        <v>49</v>
      </c>
      <c r="C192" s="1669"/>
      <c r="D192" s="1669"/>
      <c r="E192" s="1669"/>
      <c r="F192" s="1670"/>
      <c r="G192" s="771">
        <v>27</v>
      </c>
      <c r="H192" s="770" t="s">
        <v>52</v>
      </c>
      <c r="I192" s="860">
        <f>Plan1!I194*92%</f>
        <v>33.129199999999997</v>
      </c>
      <c r="J192" s="750">
        <f t="shared" ref="J192:J196" si="7">ROUND(G192*I192,2)</f>
        <v>894.49</v>
      </c>
      <c r="K192" s="1652"/>
      <c r="L192" s="791">
        <f t="shared" ref="L192:L196" si="8">J192</f>
        <v>894.49</v>
      </c>
      <c r="M192" s="865"/>
    </row>
    <row r="193" spans="1:13" s="759" customFormat="1" ht="15" customHeight="1">
      <c r="A193" s="760" t="s">
        <v>240</v>
      </c>
      <c r="B193" s="854" t="s">
        <v>86</v>
      </c>
      <c r="C193" s="772"/>
      <c r="D193" s="772"/>
      <c r="E193" s="772"/>
      <c r="F193" s="773"/>
      <c r="G193" s="767">
        <v>0.16</v>
      </c>
      <c r="H193" s="770" t="s">
        <v>92</v>
      </c>
      <c r="I193" s="860">
        <f>Plan1!I195*92%</f>
        <v>88.384399999999999</v>
      </c>
      <c r="J193" s="750">
        <f t="shared" si="7"/>
        <v>14.14</v>
      </c>
      <c r="K193" s="1652"/>
      <c r="L193" s="791">
        <f t="shared" si="8"/>
        <v>14.14</v>
      </c>
      <c r="M193" s="865"/>
    </row>
    <row r="194" spans="1:13" s="759" customFormat="1" ht="15" customHeight="1">
      <c r="A194" s="760" t="s">
        <v>45</v>
      </c>
      <c r="B194" s="855" t="s">
        <v>87</v>
      </c>
      <c r="C194" s="772"/>
      <c r="D194" s="772"/>
      <c r="E194" s="772"/>
      <c r="F194" s="773"/>
      <c r="G194" s="767">
        <v>172.8</v>
      </c>
      <c r="H194" s="774" t="s">
        <v>50</v>
      </c>
      <c r="I194" s="860">
        <f>Plan1!I196*92%</f>
        <v>4.6092000000000004</v>
      </c>
      <c r="J194" s="750">
        <f t="shared" si="7"/>
        <v>796.47</v>
      </c>
      <c r="K194" s="1652"/>
      <c r="L194" s="791">
        <f t="shared" si="8"/>
        <v>796.47</v>
      </c>
      <c r="M194" s="865"/>
    </row>
    <row r="195" spans="1:13" s="759" customFormat="1" ht="15" customHeight="1">
      <c r="A195" s="760" t="s">
        <v>47</v>
      </c>
      <c r="B195" s="855" t="s">
        <v>89</v>
      </c>
      <c r="C195" s="772"/>
      <c r="D195" s="772"/>
      <c r="E195" s="772"/>
      <c r="F195" s="773"/>
      <c r="G195" s="767">
        <v>1.92</v>
      </c>
      <c r="H195" s="774" t="s">
        <v>51</v>
      </c>
      <c r="I195" s="860">
        <f>Plan1!I197*92%</f>
        <v>230.39560000000003</v>
      </c>
      <c r="J195" s="750">
        <f t="shared" si="7"/>
        <v>442.36</v>
      </c>
      <c r="K195" s="1652"/>
      <c r="L195" s="791">
        <f t="shared" si="8"/>
        <v>442.36</v>
      </c>
      <c r="M195" s="865"/>
    </row>
    <row r="196" spans="1:13" s="759" customFormat="1" ht="15" customHeight="1" thickBot="1">
      <c r="A196" s="760" t="s">
        <v>48</v>
      </c>
      <c r="B196" s="854" t="s">
        <v>90</v>
      </c>
      <c r="C196" s="772"/>
      <c r="D196" s="772"/>
      <c r="E196" s="772"/>
      <c r="F196" s="773"/>
      <c r="G196" s="767">
        <v>1.92</v>
      </c>
      <c r="H196" s="770" t="s">
        <v>51</v>
      </c>
      <c r="I196" s="860">
        <f>Plan1!I198*92%</f>
        <v>80.187200000000004</v>
      </c>
      <c r="J196" s="750">
        <f t="shared" si="7"/>
        <v>153.96</v>
      </c>
      <c r="K196" s="1653"/>
      <c r="L196" s="791">
        <f t="shared" si="8"/>
        <v>153.96</v>
      </c>
      <c r="M196" s="865"/>
    </row>
    <row r="197" spans="1:13" s="16" customFormat="1" ht="9" customHeight="1" thickTop="1">
      <c r="A197" s="509"/>
      <c r="B197" s="509"/>
      <c r="C197" s="509"/>
      <c r="D197" s="509"/>
      <c r="E197" s="509"/>
      <c r="F197" s="509"/>
      <c r="G197" s="490"/>
      <c r="H197" s="347"/>
      <c r="I197" s="497"/>
      <c r="J197" s="346"/>
      <c r="K197" s="605"/>
      <c r="L197" s="789"/>
      <c r="M197" s="800"/>
    </row>
    <row r="198" spans="1:13" s="16" customFormat="1" ht="9" customHeight="1" thickBot="1">
      <c r="A198" s="367"/>
      <c r="B198" s="367"/>
      <c r="C198" s="367"/>
      <c r="D198" s="367"/>
      <c r="E198" s="367"/>
      <c r="F198" s="367"/>
      <c r="G198" s="398"/>
      <c r="H198" s="399"/>
      <c r="I198" s="432"/>
      <c r="J198" s="401"/>
      <c r="K198" s="605"/>
      <c r="L198" s="789"/>
      <c r="M198" s="800"/>
    </row>
    <row r="199" spans="1:13" s="16" customFormat="1" ht="15" customHeight="1" thickTop="1">
      <c r="A199" s="439">
        <v>3</v>
      </c>
      <c r="B199" s="1301" t="s">
        <v>315</v>
      </c>
      <c r="C199" s="1302"/>
      <c r="D199" s="1302"/>
      <c r="E199" s="1302"/>
      <c r="F199" s="1303"/>
      <c r="G199" s="372"/>
      <c r="H199" s="526"/>
      <c r="I199" s="640"/>
      <c r="J199" s="693">
        <f>SUM(J200:J204)</f>
        <v>6352.5</v>
      </c>
      <c r="K199" s="532"/>
      <c r="L199" s="789"/>
      <c r="M199" s="800"/>
    </row>
    <row r="200" spans="1:13" s="759" customFormat="1" ht="28.9" customHeight="1">
      <c r="A200" s="760" t="s">
        <v>54</v>
      </c>
      <c r="B200" s="1663" t="s">
        <v>93</v>
      </c>
      <c r="C200" s="1663"/>
      <c r="D200" s="1663"/>
      <c r="E200" s="1663"/>
      <c r="F200" s="1663"/>
      <c r="G200" s="767">
        <v>48.65</v>
      </c>
      <c r="H200" s="774" t="s">
        <v>96</v>
      </c>
      <c r="I200" s="860">
        <v>1.49</v>
      </c>
      <c r="J200" s="751">
        <f>ROUND(G200*I200,2)</f>
        <v>72.489999999999995</v>
      </c>
      <c r="K200" s="763" t="s">
        <v>543</v>
      </c>
      <c r="L200" s="791">
        <f>J200</f>
        <v>72.489999999999995</v>
      </c>
      <c r="M200" s="865"/>
    </row>
    <row r="201" spans="1:13" s="154" customFormat="1" ht="28.9" customHeight="1">
      <c r="A201" s="723" t="s">
        <v>601</v>
      </c>
      <c r="B201" s="1660" t="s">
        <v>93</v>
      </c>
      <c r="C201" s="1660"/>
      <c r="D201" s="1660"/>
      <c r="E201" s="1660"/>
      <c r="F201" s="1660"/>
      <c r="G201" s="236">
        <v>106.24</v>
      </c>
      <c r="H201" s="530" t="s">
        <v>96</v>
      </c>
      <c r="I201" s="861">
        <v>2.0099999999999998</v>
      </c>
      <c r="J201" s="727">
        <f>ROUND(G201*I201,2)</f>
        <v>213.54</v>
      </c>
      <c r="K201" s="721" t="s">
        <v>553</v>
      </c>
      <c r="L201" s="792"/>
      <c r="M201" s="868"/>
    </row>
    <row r="202" spans="1:13" s="759" customFormat="1" ht="28.9" customHeight="1">
      <c r="A202" s="760" t="s">
        <v>95</v>
      </c>
      <c r="B202" s="1663" t="s">
        <v>94</v>
      </c>
      <c r="C202" s="1663"/>
      <c r="D202" s="1663"/>
      <c r="E202" s="1663"/>
      <c r="F202" s="1663"/>
      <c r="G202" s="767">
        <v>2.4500000000000002</v>
      </c>
      <c r="H202" s="774" t="s">
        <v>92</v>
      </c>
      <c r="I202" s="860">
        <v>201.99</v>
      </c>
      <c r="J202" s="751">
        <f>ROUND(G202*I202,2)</f>
        <v>494.88</v>
      </c>
      <c r="K202" s="763" t="s">
        <v>543</v>
      </c>
      <c r="L202" s="791">
        <f>J202</f>
        <v>494.88</v>
      </c>
      <c r="M202" s="865"/>
    </row>
    <row r="203" spans="1:13" s="154" customFormat="1" ht="28.9" customHeight="1">
      <c r="A203" s="723" t="s">
        <v>602</v>
      </c>
      <c r="B203" s="1660" t="s">
        <v>94</v>
      </c>
      <c r="C203" s="1660"/>
      <c r="D203" s="1660"/>
      <c r="E203" s="1660"/>
      <c r="F203" s="1660"/>
      <c r="G203" s="236">
        <v>6.38</v>
      </c>
      <c r="H203" s="530" t="s">
        <v>92</v>
      </c>
      <c r="I203" s="861">
        <v>559.87</v>
      </c>
      <c r="J203" s="727">
        <f>ROUND(G203*I203,2)</f>
        <v>3571.97</v>
      </c>
      <c r="K203" s="721" t="s">
        <v>554</v>
      </c>
      <c r="L203" s="792"/>
      <c r="M203" s="868"/>
    </row>
    <row r="204" spans="1:13" s="154" customFormat="1" ht="28.9" customHeight="1">
      <c r="A204" s="723" t="s">
        <v>97</v>
      </c>
      <c r="B204" s="1660" t="s">
        <v>542</v>
      </c>
      <c r="C204" s="1660"/>
      <c r="D204" s="1660"/>
      <c r="E204" s="1660"/>
      <c r="F204" s="1660"/>
      <c r="G204" s="236">
        <v>126</v>
      </c>
      <c r="H204" s="530" t="s">
        <v>96</v>
      </c>
      <c r="I204" s="861">
        <v>15.87</v>
      </c>
      <c r="J204" s="727">
        <f>SUM(G204*I204)</f>
        <v>1999.62</v>
      </c>
      <c r="K204" s="721" t="s">
        <v>555</v>
      </c>
      <c r="L204" s="792"/>
      <c r="M204" s="868"/>
    </row>
    <row r="205" spans="1:13" s="16" customFormat="1" ht="13.9" customHeight="1">
      <c r="A205" s="423"/>
      <c r="B205" s="841"/>
      <c r="C205" s="842"/>
      <c r="D205" s="842"/>
      <c r="E205" s="842"/>
      <c r="F205" s="843"/>
      <c r="G205" s="205"/>
      <c r="H205" s="525"/>
      <c r="I205" s="641"/>
      <c r="J205" s="695"/>
      <c r="K205" s="690"/>
      <c r="L205" s="789"/>
      <c r="M205" s="800"/>
    </row>
    <row r="206" spans="1:13" s="16" customFormat="1" ht="13.15" customHeight="1">
      <c r="A206" s="439">
        <v>4</v>
      </c>
      <c r="B206" s="1301" t="s">
        <v>98</v>
      </c>
      <c r="C206" s="1302"/>
      <c r="D206" s="1302"/>
      <c r="E206" s="1302"/>
      <c r="F206" s="1303"/>
      <c r="G206" s="372"/>
      <c r="H206" s="526"/>
      <c r="I206" s="640"/>
      <c r="J206" s="693">
        <f>SUM(J207:J209)</f>
        <v>6543.24</v>
      </c>
      <c r="K206" s="532"/>
      <c r="L206" s="789"/>
      <c r="M206" s="800"/>
    </row>
    <row r="207" spans="1:13" s="759" customFormat="1" ht="15" customHeight="1">
      <c r="A207" s="775" t="s">
        <v>58</v>
      </c>
      <c r="B207" s="1648" t="s">
        <v>313</v>
      </c>
      <c r="C207" s="1649"/>
      <c r="D207" s="1649"/>
      <c r="E207" s="1649"/>
      <c r="F207" s="1650"/>
      <c r="G207" s="767">
        <v>69</v>
      </c>
      <c r="H207" s="774" t="s">
        <v>96</v>
      </c>
      <c r="I207" s="860">
        <f>Plan1!I205*92%</f>
        <v>46.368000000000002</v>
      </c>
      <c r="J207" s="751">
        <f>ROUND(G207*I207,2)</f>
        <v>3199.39</v>
      </c>
      <c r="K207" s="1651" t="s">
        <v>543</v>
      </c>
      <c r="L207" s="791">
        <f>J207</f>
        <v>3199.39</v>
      </c>
      <c r="M207" s="865"/>
    </row>
    <row r="208" spans="1:13" s="759" customFormat="1" ht="15" customHeight="1">
      <c r="A208" s="775" t="s">
        <v>59</v>
      </c>
      <c r="B208" s="1648" t="s">
        <v>99</v>
      </c>
      <c r="C208" s="1649"/>
      <c r="D208" s="1649"/>
      <c r="E208" s="1649"/>
      <c r="F208" s="1650"/>
      <c r="G208" s="767">
        <v>2.2599999999999998</v>
      </c>
      <c r="H208" s="774" t="s">
        <v>92</v>
      </c>
      <c r="I208" s="860">
        <f>Plan1!I206*92%</f>
        <v>839.84040000000005</v>
      </c>
      <c r="J208" s="751">
        <f t="shared" ref="J208:J209" si="9">ROUND(G208*I208,2)</f>
        <v>1898.04</v>
      </c>
      <c r="K208" s="1652"/>
      <c r="L208" s="791">
        <f t="shared" ref="L208:L209" si="10">J208</f>
        <v>1898.04</v>
      </c>
      <c r="M208" s="865"/>
    </row>
    <row r="209" spans="1:13" s="759" customFormat="1" ht="15" customHeight="1">
      <c r="A209" s="775" t="s">
        <v>60</v>
      </c>
      <c r="B209" s="1648" t="s">
        <v>323</v>
      </c>
      <c r="C209" s="1649"/>
      <c r="D209" s="1649"/>
      <c r="E209" s="1649"/>
      <c r="F209" s="1650"/>
      <c r="G209" s="767">
        <v>15.35</v>
      </c>
      <c r="H209" s="774" t="s">
        <v>96</v>
      </c>
      <c r="I209" s="860">
        <f>Plan1!I207*92%</f>
        <v>94.189599999999999</v>
      </c>
      <c r="J209" s="751">
        <f t="shared" si="9"/>
        <v>1445.81</v>
      </c>
      <c r="K209" s="1653"/>
      <c r="L209" s="791">
        <f t="shared" si="10"/>
        <v>1445.81</v>
      </c>
      <c r="M209" s="865"/>
    </row>
    <row r="210" spans="1:13" s="16" customFormat="1" ht="12" customHeight="1">
      <c r="A210" s="840"/>
      <c r="B210" s="802"/>
      <c r="C210" s="820"/>
      <c r="D210" s="820"/>
      <c r="E210" s="820"/>
      <c r="F210" s="803"/>
      <c r="G210" s="819"/>
      <c r="H210" s="824"/>
      <c r="I210" s="190"/>
      <c r="J210" s="289"/>
      <c r="K210" s="689"/>
      <c r="L210" s="789"/>
      <c r="M210" s="800"/>
    </row>
    <row r="211" spans="1:13" s="16" customFormat="1" ht="13.9" customHeight="1">
      <c r="A211" s="424">
        <v>5</v>
      </c>
      <c r="B211" s="1310" t="s">
        <v>100</v>
      </c>
      <c r="C211" s="1311"/>
      <c r="D211" s="1311"/>
      <c r="E211" s="1311"/>
      <c r="F211" s="1312"/>
      <c r="G211" s="182"/>
      <c r="H211" s="524"/>
      <c r="I211" s="638"/>
      <c r="J211" s="696">
        <f>J212</f>
        <v>2012.28</v>
      </c>
      <c r="K211" s="532"/>
      <c r="L211" s="789"/>
      <c r="M211" s="800"/>
    </row>
    <row r="212" spans="1:13" s="759" customFormat="1" ht="27.6" customHeight="1">
      <c r="A212" s="760" t="s">
        <v>71</v>
      </c>
      <c r="B212" s="1654" t="s">
        <v>101</v>
      </c>
      <c r="C212" s="1655"/>
      <c r="D212" s="1655"/>
      <c r="E212" s="1655"/>
      <c r="F212" s="1656"/>
      <c r="G212" s="756">
        <v>28.89</v>
      </c>
      <c r="H212" s="774" t="s">
        <v>38</v>
      </c>
      <c r="I212" s="860">
        <f>Plan1!I210*92%</f>
        <v>69.653199999999998</v>
      </c>
      <c r="J212" s="752">
        <f>ROUND(G212*I212,2)</f>
        <v>2012.28</v>
      </c>
      <c r="K212" s="763" t="s">
        <v>543</v>
      </c>
      <c r="L212" s="791">
        <f>J212</f>
        <v>2012.28</v>
      </c>
      <c r="M212" s="865"/>
    </row>
    <row r="213" spans="1:13" s="16" customFormat="1" ht="14.45" customHeight="1">
      <c r="A213" s="385"/>
      <c r="B213" s="828"/>
      <c r="C213" s="829"/>
      <c r="D213" s="829"/>
      <c r="E213" s="829"/>
      <c r="F213" s="830"/>
      <c r="G213" s="184"/>
      <c r="H213" s="824"/>
      <c r="I213" s="529"/>
      <c r="J213" s="697"/>
      <c r="K213" s="688"/>
      <c r="L213" s="789"/>
      <c r="M213" s="800"/>
    </row>
    <row r="214" spans="1:13" s="16" customFormat="1" ht="13.15" customHeight="1">
      <c r="A214" s="439">
        <v>6</v>
      </c>
      <c r="B214" s="1301" t="s">
        <v>102</v>
      </c>
      <c r="C214" s="1302"/>
      <c r="D214" s="1302"/>
      <c r="E214" s="1302"/>
      <c r="F214" s="1303"/>
      <c r="G214" s="372"/>
      <c r="H214" s="526"/>
      <c r="I214" s="640"/>
      <c r="J214" s="693">
        <f>SUM(J215:J217)</f>
        <v>4477.58</v>
      </c>
      <c r="K214" s="532"/>
      <c r="L214" s="789"/>
      <c r="M214" s="800"/>
    </row>
    <row r="215" spans="1:13" s="759" customFormat="1" ht="15" customHeight="1">
      <c r="A215" s="760" t="s">
        <v>81</v>
      </c>
      <c r="B215" s="854" t="s">
        <v>103</v>
      </c>
      <c r="C215" s="776"/>
      <c r="D215" s="776"/>
      <c r="E215" s="776"/>
      <c r="F215" s="777"/>
      <c r="G215" s="761">
        <v>43.23</v>
      </c>
      <c r="H215" s="774" t="s">
        <v>38</v>
      </c>
      <c r="I215" s="860">
        <f>Plan1!I213*92%</f>
        <v>70.720400000000012</v>
      </c>
      <c r="J215" s="751">
        <f>ROUND(G215*I215,2)</f>
        <v>3057.24</v>
      </c>
      <c r="K215" s="1651" t="s">
        <v>543</v>
      </c>
      <c r="L215" s="791">
        <f>J215</f>
        <v>3057.24</v>
      </c>
      <c r="M215" s="865"/>
    </row>
    <row r="216" spans="1:13" s="759" customFormat="1" ht="15" customHeight="1">
      <c r="A216" s="775" t="s">
        <v>104</v>
      </c>
      <c r="B216" s="855" t="s">
        <v>105</v>
      </c>
      <c r="C216" s="778"/>
      <c r="D216" s="778"/>
      <c r="E216" s="778"/>
      <c r="F216" s="779"/>
      <c r="G216" s="767">
        <v>43.23</v>
      </c>
      <c r="H216" s="770" t="s">
        <v>38</v>
      </c>
      <c r="I216" s="860">
        <f>Plan1!I214*92%</f>
        <v>30.737199999999998</v>
      </c>
      <c r="J216" s="751">
        <f>ROUND(G216*I216,2)</f>
        <v>1328.77</v>
      </c>
      <c r="K216" s="1652"/>
      <c r="L216" s="791">
        <f t="shared" ref="L216:L217" si="11">J216</f>
        <v>1328.77</v>
      </c>
      <c r="M216" s="865"/>
    </row>
    <row r="217" spans="1:13" s="759" customFormat="1" ht="27" customHeight="1">
      <c r="A217" s="760" t="s">
        <v>106</v>
      </c>
      <c r="B217" s="1654" t="s">
        <v>107</v>
      </c>
      <c r="C217" s="1655"/>
      <c r="D217" s="1655"/>
      <c r="E217" s="1655"/>
      <c r="F217" s="1656"/>
      <c r="G217" s="761">
        <v>6.6</v>
      </c>
      <c r="H217" s="774" t="s">
        <v>52</v>
      </c>
      <c r="I217" s="860">
        <f>Plan1!I215*92%</f>
        <v>13.873600000000001</v>
      </c>
      <c r="J217" s="751">
        <f>ROUND(G217*I217,2)</f>
        <v>91.57</v>
      </c>
      <c r="K217" s="1653"/>
      <c r="L217" s="791">
        <f t="shared" si="11"/>
        <v>91.57</v>
      </c>
      <c r="M217" s="865"/>
    </row>
    <row r="218" spans="1:13" s="16" customFormat="1" ht="12.6" customHeight="1">
      <c r="A218" s="840"/>
      <c r="B218" s="802"/>
      <c r="C218" s="820"/>
      <c r="D218" s="820"/>
      <c r="E218" s="820"/>
      <c r="F218" s="803"/>
      <c r="G218" s="819"/>
      <c r="H218" s="824"/>
      <c r="I218" s="190"/>
      <c r="J218" s="289"/>
      <c r="K218" s="689"/>
      <c r="L218" s="789"/>
      <c r="M218" s="800"/>
    </row>
    <row r="219" spans="1:13" s="16" customFormat="1" ht="13.15" customHeight="1">
      <c r="A219" s="380">
        <v>7</v>
      </c>
      <c r="B219" s="1322" t="s">
        <v>78</v>
      </c>
      <c r="C219" s="1322"/>
      <c r="D219" s="1322"/>
      <c r="E219" s="1322"/>
      <c r="F219" s="1322"/>
      <c r="G219" s="182"/>
      <c r="H219" s="524"/>
      <c r="I219" s="638"/>
      <c r="J219" s="696">
        <f>SUM(J220:J224)</f>
        <v>5231.8900000000003</v>
      </c>
      <c r="K219" s="532"/>
      <c r="L219" s="789"/>
      <c r="M219" s="800"/>
    </row>
    <row r="220" spans="1:13" s="759" customFormat="1" ht="15" customHeight="1">
      <c r="A220" s="760" t="s">
        <v>108</v>
      </c>
      <c r="B220" s="1664" t="s">
        <v>65</v>
      </c>
      <c r="C220" s="1664"/>
      <c r="D220" s="1664"/>
      <c r="E220" s="1664"/>
      <c r="F220" s="1664"/>
      <c r="G220" s="761">
        <f>G207*2</f>
        <v>138</v>
      </c>
      <c r="H220" s="774" t="s">
        <v>38</v>
      </c>
      <c r="I220" s="860">
        <f>Plan1!I218*92%</f>
        <v>3.5420000000000003</v>
      </c>
      <c r="J220" s="751">
        <f>ROUND(G220*I220,2)</f>
        <v>488.8</v>
      </c>
      <c r="K220" s="1651" t="s">
        <v>543</v>
      </c>
      <c r="L220" s="791">
        <f>J220</f>
        <v>488.8</v>
      </c>
      <c r="M220" s="865"/>
    </row>
    <row r="221" spans="1:13" s="759" customFormat="1" ht="15" customHeight="1">
      <c r="A221" s="775" t="s">
        <v>109</v>
      </c>
      <c r="B221" s="1665" t="s">
        <v>66</v>
      </c>
      <c r="C221" s="1665"/>
      <c r="D221" s="1665"/>
      <c r="E221" s="1665"/>
      <c r="F221" s="1665"/>
      <c r="G221" s="767">
        <f>G220</f>
        <v>138</v>
      </c>
      <c r="H221" s="770" t="s">
        <v>38</v>
      </c>
      <c r="I221" s="860">
        <f>Plan1!I219*92%</f>
        <v>10.4604</v>
      </c>
      <c r="J221" s="751">
        <f>ROUND(G221*I221,2)</f>
        <v>1443.54</v>
      </c>
      <c r="K221" s="1652"/>
      <c r="L221" s="791">
        <f t="shared" ref="L221:L224" si="12">J221</f>
        <v>1443.54</v>
      </c>
      <c r="M221" s="865"/>
    </row>
    <row r="222" spans="1:13" s="759" customFormat="1" ht="28.15" customHeight="1">
      <c r="A222" s="755" t="s">
        <v>110</v>
      </c>
      <c r="B222" s="1666" t="s">
        <v>111</v>
      </c>
      <c r="C222" s="1666"/>
      <c r="D222" s="1666"/>
      <c r="E222" s="1666"/>
      <c r="F222" s="1666"/>
      <c r="G222" s="780">
        <f>G212</f>
        <v>28.89</v>
      </c>
      <c r="H222" s="781" t="s">
        <v>64</v>
      </c>
      <c r="I222" s="860">
        <f>Plan1!I220*92%</f>
        <v>80.610400000000013</v>
      </c>
      <c r="J222" s="753">
        <f>ROUND(G222*I222,2)</f>
        <v>2328.83</v>
      </c>
      <c r="K222" s="1652"/>
      <c r="L222" s="791">
        <f t="shared" si="12"/>
        <v>2328.83</v>
      </c>
      <c r="M222" s="865"/>
    </row>
    <row r="223" spans="1:13" s="759" customFormat="1" ht="27" customHeight="1">
      <c r="A223" s="760" t="s">
        <v>112</v>
      </c>
      <c r="B223" s="1663" t="s">
        <v>113</v>
      </c>
      <c r="C223" s="1663"/>
      <c r="D223" s="1663"/>
      <c r="E223" s="1663"/>
      <c r="F223" s="1663"/>
      <c r="G223" s="761">
        <v>32.1</v>
      </c>
      <c r="H223" s="757" t="s">
        <v>38</v>
      </c>
      <c r="I223" s="860">
        <f>Plan1!I221*92%</f>
        <v>25.198800000000002</v>
      </c>
      <c r="J223" s="747">
        <f>ROUND(G223*I223,2)</f>
        <v>808.88</v>
      </c>
      <c r="K223" s="1652"/>
      <c r="L223" s="791">
        <f t="shared" si="12"/>
        <v>808.88</v>
      </c>
      <c r="M223" s="865"/>
    </row>
    <row r="224" spans="1:13" s="759" customFormat="1" ht="28.9" customHeight="1">
      <c r="A224" s="775" t="s">
        <v>114</v>
      </c>
      <c r="B224" s="1667" t="s">
        <v>115</v>
      </c>
      <c r="C224" s="1667"/>
      <c r="D224" s="1667"/>
      <c r="E224" s="1667"/>
      <c r="F224" s="1667"/>
      <c r="G224" s="767">
        <v>32.1</v>
      </c>
      <c r="H224" s="782" t="s">
        <v>38</v>
      </c>
      <c r="I224" s="860">
        <f>Plan1!I224*92%</f>
        <v>5.0416000000000007</v>
      </c>
      <c r="J224" s="748">
        <f>ROUND(G224*I224,2)</f>
        <v>161.84</v>
      </c>
      <c r="K224" s="1653"/>
      <c r="L224" s="791">
        <f t="shared" si="12"/>
        <v>161.84</v>
      </c>
      <c r="M224" s="865"/>
    </row>
    <row r="225" spans="1:13" s="16" customFormat="1" ht="11.45" customHeight="1">
      <c r="A225" s="358"/>
      <c r="B225" s="253"/>
      <c r="C225" s="847"/>
      <c r="D225" s="847"/>
      <c r="E225" s="847"/>
      <c r="F225" s="299"/>
      <c r="G225" s="819"/>
      <c r="H225" s="823"/>
      <c r="I225" s="190"/>
      <c r="J225" s="699"/>
      <c r="K225" s="689"/>
      <c r="L225" s="789"/>
      <c r="M225" s="800"/>
    </row>
    <row r="226" spans="1:13" s="16" customFormat="1" ht="14.45" customHeight="1">
      <c r="A226" s="380">
        <v>8</v>
      </c>
      <c r="B226" s="1322" t="s">
        <v>116</v>
      </c>
      <c r="C226" s="1322"/>
      <c r="D226" s="1322"/>
      <c r="E226" s="1322"/>
      <c r="F226" s="1322"/>
      <c r="G226" s="182"/>
      <c r="H226" s="189"/>
      <c r="I226" s="643"/>
      <c r="J226" s="666">
        <f>SUM(J227:J241)</f>
        <v>6778.5399999999991</v>
      </c>
      <c r="K226" s="532"/>
      <c r="L226" s="789"/>
      <c r="M226" s="800"/>
    </row>
    <row r="227" spans="1:13" s="759" customFormat="1" ht="25.9" customHeight="1">
      <c r="A227" s="760" t="s">
        <v>117</v>
      </c>
      <c r="B227" s="1663" t="s">
        <v>118</v>
      </c>
      <c r="C227" s="1663"/>
      <c r="D227" s="1663"/>
      <c r="E227" s="1663"/>
      <c r="F227" s="1663"/>
      <c r="G227" s="767">
        <v>1</v>
      </c>
      <c r="H227" s="774" t="s">
        <v>80</v>
      </c>
      <c r="I227" s="860">
        <f>Plan1!I227*92%</f>
        <v>324.6404</v>
      </c>
      <c r="J227" s="751">
        <f>ROUND(G227*I227,2)</f>
        <v>324.64</v>
      </c>
      <c r="K227" s="763" t="s">
        <v>543</v>
      </c>
      <c r="L227" s="791">
        <f>J227</f>
        <v>324.64</v>
      </c>
      <c r="M227" s="865"/>
    </row>
    <row r="228" spans="1:13" s="154" customFormat="1" ht="28.15" customHeight="1">
      <c r="A228" s="723" t="s">
        <v>119</v>
      </c>
      <c r="B228" s="1661" t="s">
        <v>120</v>
      </c>
      <c r="C228" s="1661"/>
      <c r="D228" s="1661"/>
      <c r="E228" s="1661"/>
      <c r="F228" s="1661"/>
      <c r="G228" s="236">
        <v>5</v>
      </c>
      <c r="H228" s="530" t="s">
        <v>50</v>
      </c>
      <c r="I228" s="861">
        <v>55.57</v>
      </c>
      <c r="J228" s="727">
        <f t="shared" ref="J228:J240" si="13">ROUND(G228*I228,2)</f>
        <v>277.85000000000002</v>
      </c>
      <c r="K228" s="721" t="s">
        <v>556</v>
      </c>
      <c r="L228" s="792"/>
      <c r="M228" s="868"/>
    </row>
    <row r="229" spans="1:13" s="759" customFormat="1" ht="15" customHeight="1">
      <c r="A229" s="760" t="s">
        <v>121</v>
      </c>
      <c r="B229" s="1664" t="s">
        <v>122</v>
      </c>
      <c r="C229" s="1664"/>
      <c r="D229" s="1664"/>
      <c r="E229" s="1664"/>
      <c r="F229" s="1664"/>
      <c r="G229" s="767">
        <v>10</v>
      </c>
      <c r="H229" s="774" t="s">
        <v>80</v>
      </c>
      <c r="I229" s="860">
        <f>Plan1!I229*92%</f>
        <v>7.3323999999999998</v>
      </c>
      <c r="J229" s="751">
        <f t="shared" si="13"/>
        <v>73.319999999999993</v>
      </c>
      <c r="K229" s="763" t="s">
        <v>543</v>
      </c>
      <c r="L229" s="791">
        <f>J229</f>
        <v>73.319999999999993</v>
      </c>
      <c r="M229" s="865"/>
    </row>
    <row r="230" spans="1:13" s="759" customFormat="1" ht="15" customHeight="1">
      <c r="A230" s="760" t="s">
        <v>123</v>
      </c>
      <c r="B230" s="1664" t="s">
        <v>124</v>
      </c>
      <c r="C230" s="1664"/>
      <c r="D230" s="1664"/>
      <c r="E230" s="1664"/>
      <c r="F230" s="1664"/>
      <c r="G230" s="767">
        <v>2</v>
      </c>
      <c r="H230" s="774" t="s">
        <v>80</v>
      </c>
      <c r="I230" s="860">
        <f>Plan1!I230*92%</f>
        <v>8.7032000000000007</v>
      </c>
      <c r="J230" s="751">
        <f t="shared" si="13"/>
        <v>17.41</v>
      </c>
      <c r="K230" s="763" t="s">
        <v>543</v>
      </c>
      <c r="L230" s="791">
        <f t="shared" ref="L230:L231" si="14">J230</f>
        <v>17.41</v>
      </c>
      <c r="M230" s="865"/>
    </row>
    <row r="231" spans="1:13" s="759" customFormat="1" ht="15" customHeight="1">
      <c r="A231" s="760" t="s">
        <v>125</v>
      </c>
      <c r="B231" s="1664" t="s">
        <v>126</v>
      </c>
      <c r="C231" s="1664"/>
      <c r="D231" s="1664"/>
      <c r="E231" s="1664"/>
      <c r="F231" s="1664"/>
      <c r="G231" s="767">
        <v>100</v>
      </c>
      <c r="H231" s="774" t="s">
        <v>52</v>
      </c>
      <c r="I231" s="860">
        <v>8.08</v>
      </c>
      <c r="J231" s="751">
        <f>ROUND(G231*I231,2)</f>
        <v>808</v>
      </c>
      <c r="K231" s="763" t="s">
        <v>543</v>
      </c>
      <c r="L231" s="791">
        <f t="shared" si="14"/>
        <v>808</v>
      </c>
      <c r="M231" s="865"/>
    </row>
    <row r="232" spans="1:13" s="16" customFormat="1" ht="31.9" customHeight="1">
      <c r="A232" s="723" t="s">
        <v>603</v>
      </c>
      <c r="B232" s="1661" t="s">
        <v>126</v>
      </c>
      <c r="C232" s="1661"/>
      <c r="D232" s="1661"/>
      <c r="E232" s="1661"/>
      <c r="F232" s="1661"/>
      <c r="G232" s="236">
        <v>100</v>
      </c>
      <c r="H232" s="530" t="s">
        <v>52</v>
      </c>
      <c r="I232" s="861">
        <v>11.59</v>
      </c>
      <c r="J232" s="679">
        <f t="shared" si="13"/>
        <v>1159</v>
      </c>
      <c r="K232" s="720" t="s">
        <v>557</v>
      </c>
      <c r="L232" s="789"/>
      <c r="M232" s="800"/>
    </row>
    <row r="233" spans="1:13" s="743" customFormat="1" ht="31.9" customHeight="1">
      <c r="A233" s="397" t="s">
        <v>399</v>
      </c>
      <c r="B233" s="1662" t="s">
        <v>128</v>
      </c>
      <c r="C233" s="1662"/>
      <c r="D233" s="1662"/>
      <c r="E233" s="1662"/>
      <c r="F233" s="1662"/>
      <c r="G233" s="201">
        <v>50</v>
      </c>
      <c r="H233" s="523" t="s">
        <v>52</v>
      </c>
      <c r="I233" s="861">
        <v>13.16</v>
      </c>
      <c r="J233" s="741">
        <f t="shared" si="13"/>
        <v>658</v>
      </c>
      <c r="K233" s="742" t="s">
        <v>561</v>
      </c>
      <c r="L233" s="794"/>
      <c r="M233" s="869"/>
    </row>
    <row r="234" spans="1:13" s="16" customFormat="1" ht="31.9" customHeight="1">
      <c r="A234" s="723" t="s">
        <v>127</v>
      </c>
      <c r="B234" s="1661" t="s">
        <v>130</v>
      </c>
      <c r="C234" s="1661"/>
      <c r="D234" s="1661"/>
      <c r="E234" s="1661"/>
      <c r="F234" s="1661"/>
      <c r="G234" s="236">
        <v>100</v>
      </c>
      <c r="H234" s="530" t="s">
        <v>52</v>
      </c>
      <c r="I234" s="861">
        <v>1.99</v>
      </c>
      <c r="J234" s="679">
        <f t="shared" si="13"/>
        <v>199</v>
      </c>
      <c r="K234" s="720" t="s">
        <v>558</v>
      </c>
      <c r="L234" s="789"/>
      <c r="M234" s="800"/>
    </row>
    <row r="235" spans="1:13" s="16" customFormat="1" ht="31.9" customHeight="1">
      <c r="A235" s="723" t="s">
        <v>129</v>
      </c>
      <c r="B235" s="1661" t="s">
        <v>132</v>
      </c>
      <c r="C235" s="1661"/>
      <c r="D235" s="1661"/>
      <c r="E235" s="1661"/>
      <c r="F235" s="1661"/>
      <c r="G235" s="236">
        <v>150</v>
      </c>
      <c r="H235" s="530" t="s">
        <v>52</v>
      </c>
      <c r="I235" s="861">
        <v>2.41</v>
      </c>
      <c r="J235" s="679">
        <f t="shared" si="13"/>
        <v>361.5</v>
      </c>
      <c r="K235" s="720" t="s">
        <v>559</v>
      </c>
      <c r="L235" s="789"/>
      <c r="M235" s="800"/>
    </row>
    <row r="236" spans="1:13" s="16" customFormat="1" ht="31.9" customHeight="1">
      <c r="A236" s="723" t="s">
        <v>131</v>
      </c>
      <c r="B236" s="1661" t="s">
        <v>134</v>
      </c>
      <c r="C236" s="1661"/>
      <c r="D236" s="1661"/>
      <c r="E236" s="1661"/>
      <c r="F236" s="1661"/>
      <c r="G236" s="236">
        <v>100</v>
      </c>
      <c r="H236" s="530" t="s">
        <v>52</v>
      </c>
      <c r="I236" s="861">
        <v>3.72</v>
      </c>
      <c r="J236" s="679">
        <f t="shared" si="13"/>
        <v>372</v>
      </c>
      <c r="K236" s="720" t="s">
        <v>560</v>
      </c>
      <c r="L236" s="789"/>
      <c r="M236" s="800"/>
    </row>
    <row r="237" spans="1:13" s="154" customFormat="1" ht="45" customHeight="1">
      <c r="A237" s="723" t="s">
        <v>133</v>
      </c>
      <c r="B237" s="1661" t="s">
        <v>136</v>
      </c>
      <c r="C237" s="1661"/>
      <c r="D237" s="1661"/>
      <c r="E237" s="1661"/>
      <c r="F237" s="1661"/>
      <c r="G237" s="236">
        <v>100</v>
      </c>
      <c r="H237" s="530" t="s">
        <v>52</v>
      </c>
      <c r="I237" s="861">
        <f>Plan1!I236*92%</f>
        <v>6.8908000000000005</v>
      </c>
      <c r="J237" s="727">
        <f t="shared" si="13"/>
        <v>689.08</v>
      </c>
      <c r="K237" s="721" t="s">
        <v>551</v>
      </c>
      <c r="L237" s="792"/>
      <c r="M237" s="868"/>
    </row>
    <row r="238" spans="1:13" s="154" customFormat="1" ht="33.6" customHeight="1">
      <c r="A238" s="723" t="s">
        <v>400</v>
      </c>
      <c r="B238" s="1660" t="s">
        <v>138</v>
      </c>
      <c r="C238" s="1660"/>
      <c r="D238" s="1660"/>
      <c r="E238" s="1660"/>
      <c r="F238" s="1660"/>
      <c r="G238" s="236">
        <v>6</v>
      </c>
      <c r="H238" s="530" t="s">
        <v>80</v>
      </c>
      <c r="I238" s="861">
        <v>22.66</v>
      </c>
      <c r="J238" s="727">
        <f t="shared" si="13"/>
        <v>135.96</v>
      </c>
      <c r="K238" s="720" t="s">
        <v>562</v>
      </c>
      <c r="L238" s="792"/>
      <c r="M238" s="868"/>
    </row>
    <row r="239" spans="1:13" s="154" customFormat="1" ht="33.6" customHeight="1">
      <c r="A239" s="723" t="s">
        <v>135</v>
      </c>
      <c r="B239" s="1660" t="s">
        <v>140</v>
      </c>
      <c r="C239" s="1660"/>
      <c r="D239" s="1660"/>
      <c r="E239" s="1660"/>
      <c r="F239" s="1660"/>
      <c r="G239" s="236">
        <v>2</v>
      </c>
      <c r="H239" s="530" t="s">
        <v>80</v>
      </c>
      <c r="I239" s="861">
        <v>18.63</v>
      </c>
      <c r="J239" s="727">
        <f t="shared" si="13"/>
        <v>37.26</v>
      </c>
      <c r="K239" s="720" t="s">
        <v>563</v>
      </c>
      <c r="L239" s="792"/>
      <c r="M239" s="868"/>
    </row>
    <row r="240" spans="1:13" s="154" customFormat="1" ht="33.6" customHeight="1">
      <c r="A240" s="723" t="s">
        <v>137</v>
      </c>
      <c r="B240" s="1660" t="s">
        <v>142</v>
      </c>
      <c r="C240" s="1660"/>
      <c r="D240" s="1660"/>
      <c r="E240" s="1660"/>
      <c r="F240" s="1660"/>
      <c r="G240" s="236">
        <v>4</v>
      </c>
      <c r="H240" s="530" t="s">
        <v>80</v>
      </c>
      <c r="I240" s="861">
        <v>19.27</v>
      </c>
      <c r="J240" s="727">
        <f t="shared" si="13"/>
        <v>77.08</v>
      </c>
      <c r="K240" s="720" t="s">
        <v>564</v>
      </c>
      <c r="L240" s="792"/>
      <c r="M240" s="868"/>
    </row>
    <row r="241" spans="1:13" s="16" customFormat="1" ht="30" customHeight="1">
      <c r="A241" s="385" t="s">
        <v>462</v>
      </c>
      <c r="B241" s="1313" t="s">
        <v>336</v>
      </c>
      <c r="C241" s="1314"/>
      <c r="D241" s="1314"/>
      <c r="E241" s="1314"/>
      <c r="F241" s="1315"/>
      <c r="G241" s="201">
        <v>1</v>
      </c>
      <c r="H241" s="186" t="s">
        <v>80</v>
      </c>
      <c r="I241" s="861">
        <v>1588.44</v>
      </c>
      <c r="J241" s="694">
        <f>SUM(G241*I241)</f>
        <v>1588.44</v>
      </c>
      <c r="K241" s="700" t="s">
        <v>565</v>
      </c>
      <c r="L241" s="789"/>
      <c r="M241" s="800"/>
    </row>
    <row r="242" spans="1:13" s="172" customFormat="1" ht="12.6" customHeight="1">
      <c r="A242" s="840"/>
      <c r="B242" s="802"/>
      <c r="C242" s="820"/>
      <c r="D242" s="820"/>
      <c r="E242" s="820"/>
      <c r="F242" s="803"/>
      <c r="G242" s="819"/>
      <c r="H242" s="824"/>
      <c r="I242" s="190"/>
      <c r="J242" s="289"/>
      <c r="K242" s="689"/>
      <c r="L242" s="795"/>
      <c r="M242" s="870"/>
    </row>
    <row r="243" spans="1:13" s="16" customFormat="1" ht="13.15" customHeight="1">
      <c r="A243" s="380">
        <v>9</v>
      </c>
      <c r="B243" s="1301" t="s">
        <v>209</v>
      </c>
      <c r="C243" s="1302"/>
      <c r="D243" s="1302"/>
      <c r="E243" s="1302"/>
      <c r="F243" s="1303"/>
      <c r="G243" s="182"/>
      <c r="H243" s="524"/>
      <c r="I243" s="638"/>
      <c r="J243" s="696">
        <f>SUM(J244:J264)</f>
        <v>11236.71</v>
      </c>
      <c r="K243" s="687"/>
      <c r="L243" s="789"/>
      <c r="M243" s="800"/>
    </row>
    <row r="244" spans="1:13" s="759" customFormat="1" ht="15" customHeight="1">
      <c r="A244" s="760" t="s">
        <v>144</v>
      </c>
      <c r="B244" s="1648" t="s">
        <v>331</v>
      </c>
      <c r="C244" s="1649"/>
      <c r="D244" s="1649"/>
      <c r="E244" s="1649"/>
      <c r="F244" s="1650"/>
      <c r="G244" s="767">
        <v>1</v>
      </c>
      <c r="H244" s="774" t="s">
        <v>80</v>
      </c>
      <c r="I244" s="860">
        <f>Plan1!I242*92%</f>
        <v>333.02160000000003</v>
      </c>
      <c r="J244" s="751">
        <f>ROUND(G244*I244,2)</f>
        <v>333.02</v>
      </c>
      <c r="K244" s="1651" t="s">
        <v>543</v>
      </c>
      <c r="L244" s="791">
        <f>J244</f>
        <v>333.02</v>
      </c>
      <c r="M244" s="865"/>
    </row>
    <row r="245" spans="1:13" s="759" customFormat="1" ht="26.45" customHeight="1">
      <c r="A245" s="760" t="s">
        <v>145</v>
      </c>
      <c r="B245" s="1654" t="s">
        <v>330</v>
      </c>
      <c r="C245" s="1655"/>
      <c r="D245" s="1655"/>
      <c r="E245" s="1655"/>
      <c r="F245" s="1656"/>
      <c r="G245" s="767">
        <v>18</v>
      </c>
      <c r="H245" s="774" t="s">
        <v>52</v>
      </c>
      <c r="I245" s="860">
        <f>Plan1!I243*92%</f>
        <v>14.048400000000001</v>
      </c>
      <c r="J245" s="751">
        <f t="shared" ref="J245:J263" si="15">ROUND(G245*I245,2)</f>
        <v>252.87</v>
      </c>
      <c r="K245" s="1652"/>
      <c r="L245" s="791">
        <f t="shared" ref="L245:L250" si="16">J245</f>
        <v>252.87</v>
      </c>
      <c r="M245" s="865"/>
    </row>
    <row r="246" spans="1:13" s="759" customFormat="1" ht="15" customHeight="1">
      <c r="A246" s="760" t="s">
        <v>147</v>
      </c>
      <c r="B246" s="1648" t="s">
        <v>148</v>
      </c>
      <c r="C246" s="1649"/>
      <c r="D246" s="1649"/>
      <c r="E246" s="1649"/>
      <c r="F246" s="1650"/>
      <c r="G246" s="767">
        <v>1</v>
      </c>
      <c r="H246" s="774" t="s">
        <v>80</v>
      </c>
      <c r="I246" s="860">
        <f>Plan1!I244*92%</f>
        <v>76.001199999999997</v>
      </c>
      <c r="J246" s="751">
        <f t="shared" si="15"/>
        <v>76</v>
      </c>
      <c r="K246" s="1652"/>
      <c r="L246" s="791">
        <f t="shared" si="16"/>
        <v>76</v>
      </c>
      <c r="M246" s="865"/>
    </row>
    <row r="247" spans="1:13" s="759" customFormat="1" ht="15" customHeight="1">
      <c r="A247" s="760" t="s">
        <v>149</v>
      </c>
      <c r="B247" s="1648" t="s">
        <v>150</v>
      </c>
      <c r="C247" s="1649"/>
      <c r="D247" s="1649"/>
      <c r="E247" s="1649"/>
      <c r="F247" s="1650"/>
      <c r="G247" s="767">
        <v>1</v>
      </c>
      <c r="H247" s="774" t="s">
        <v>80</v>
      </c>
      <c r="I247" s="860">
        <f>Plan1!I245*92%</f>
        <v>46.303600000000003</v>
      </c>
      <c r="J247" s="751">
        <f t="shared" si="15"/>
        <v>46.3</v>
      </c>
      <c r="K247" s="1652"/>
      <c r="L247" s="791">
        <f t="shared" si="16"/>
        <v>46.3</v>
      </c>
      <c r="M247" s="865"/>
    </row>
    <row r="248" spans="1:13" s="759" customFormat="1" ht="27.6" customHeight="1">
      <c r="A248" s="760" t="s">
        <v>151</v>
      </c>
      <c r="B248" s="1654" t="s">
        <v>329</v>
      </c>
      <c r="C248" s="1655"/>
      <c r="D248" s="1655"/>
      <c r="E248" s="1655"/>
      <c r="F248" s="1656"/>
      <c r="G248" s="767">
        <v>48</v>
      </c>
      <c r="H248" s="774" t="s">
        <v>52</v>
      </c>
      <c r="I248" s="860">
        <f>Plan1!I246*92%</f>
        <v>14.959200000000003</v>
      </c>
      <c r="J248" s="751">
        <f t="shared" si="15"/>
        <v>718.04</v>
      </c>
      <c r="K248" s="1652"/>
      <c r="L248" s="791">
        <f t="shared" si="16"/>
        <v>718.04</v>
      </c>
      <c r="M248" s="865"/>
    </row>
    <row r="249" spans="1:13" s="759" customFormat="1" ht="30" customHeight="1">
      <c r="A249" s="760" t="s">
        <v>153</v>
      </c>
      <c r="B249" s="1654" t="s">
        <v>154</v>
      </c>
      <c r="C249" s="1655"/>
      <c r="D249" s="1655"/>
      <c r="E249" s="1655"/>
      <c r="F249" s="1656"/>
      <c r="G249" s="767">
        <v>2</v>
      </c>
      <c r="H249" s="774" t="s">
        <v>80</v>
      </c>
      <c r="I249" s="860">
        <f>Plan1!I247*92%</f>
        <v>101.15400000000001</v>
      </c>
      <c r="J249" s="751">
        <f t="shared" si="15"/>
        <v>202.31</v>
      </c>
      <c r="K249" s="1652"/>
      <c r="L249" s="791">
        <f t="shared" si="16"/>
        <v>202.31</v>
      </c>
      <c r="M249" s="865"/>
    </row>
    <row r="250" spans="1:13" s="759" customFormat="1" ht="26.25" customHeight="1" thickBot="1">
      <c r="A250" s="783" t="s">
        <v>155</v>
      </c>
      <c r="B250" s="1657" t="s">
        <v>156</v>
      </c>
      <c r="C250" s="1658"/>
      <c r="D250" s="1658"/>
      <c r="E250" s="1658"/>
      <c r="F250" s="1659"/>
      <c r="G250" s="784">
        <v>3</v>
      </c>
      <c r="H250" s="785" t="s">
        <v>80</v>
      </c>
      <c r="I250" s="862">
        <f>Plan1!I248*92%</f>
        <v>63.71</v>
      </c>
      <c r="J250" s="754">
        <f t="shared" si="15"/>
        <v>191.13</v>
      </c>
      <c r="K250" s="1653"/>
      <c r="L250" s="791">
        <f t="shared" si="16"/>
        <v>191.13</v>
      </c>
      <c r="M250" s="865"/>
    </row>
    <row r="251" spans="1:13" s="16" customFormat="1" ht="13.9" customHeight="1" thickTop="1">
      <c r="A251" s="175"/>
      <c r="B251" s="852"/>
      <c r="C251" s="852"/>
      <c r="D251" s="852"/>
      <c r="E251" s="852"/>
      <c r="F251" s="852"/>
      <c r="G251" s="552"/>
      <c r="H251" s="175"/>
      <c r="I251" s="628"/>
      <c r="J251" s="553"/>
      <c r="K251" s="584"/>
      <c r="L251" s="789"/>
      <c r="M251" s="800"/>
    </row>
    <row r="252" spans="1:13" s="16" customFormat="1" ht="13.9" customHeight="1" thickBot="1">
      <c r="A252" s="399"/>
      <c r="B252" s="550"/>
      <c r="C252" s="550"/>
      <c r="D252" s="550"/>
      <c r="E252" s="550"/>
      <c r="F252" s="550"/>
      <c r="G252" s="432"/>
      <c r="H252" s="399"/>
      <c r="I252" s="644"/>
      <c r="J252" s="448"/>
      <c r="K252" s="584"/>
      <c r="L252" s="789"/>
      <c r="M252" s="800"/>
    </row>
    <row r="253" spans="1:13" s="154" customFormat="1" ht="34.9" customHeight="1" thickTop="1">
      <c r="A253" s="728" t="s">
        <v>184</v>
      </c>
      <c r="B253" s="1642" t="s">
        <v>517</v>
      </c>
      <c r="C253" s="1643"/>
      <c r="D253" s="1643"/>
      <c r="E253" s="1643"/>
      <c r="F253" s="1644"/>
      <c r="G253" s="236">
        <v>4</v>
      </c>
      <c r="H253" s="729" t="s">
        <v>80</v>
      </c>
      <c r="I253" s="861">
        <v>169.64</v>
      </c>
      <c r="J253" s="680">
        <f t="shared" si="15"/>
        <v>678.56</v>
      </c>
      <c r="K253" s="721" t="s">
        <v>566</v>
      </c>
      <c r="L253" s="792"/>
      <c r="M253" s="868"/>
    </row>
    <row r="254" spans="1:13" s="759" customFormat="1" ht="18" customHeight="1">
      <c r="A254" s="760" t="s">
        <v>185</v>
      </c>
      <c r="B254" s="1648" t="s">
        <v>160</v>
      </c>
      <c r="C254" s="1649"/>
      <c r="D254" s="1649"/>
      <c r="E254" s="1649"/>
      <c r="F254" s="1650"/>
      <c r="G254" s="767">
        <v>3</v>
      </c>
      <c r="H254" s="774" t="s">
        <v>80</v>
      </c>
      <c r="I254" s="860">
        <f>Plan1!I250*92%</f>
        <v>46.211599999999997</v>
      </c>
      <c r="J254" s="751">
        <f t="shared" si="15"/>
        <v>138.63</v>
      </c>
      <c r="K254" s="1651" t="s">
        <v>543</v>
      </c>
      <c r="L254" s="791">
        <f>J254</f>
        <v>138.63</v>
      </c>
      <c r="M254" s="865"/>
    </row>
    <row r="255" spans="1:13" s="759" customFormat="1" ht="28.15" customHeight="1">
      <c r="A255" s="760" t="s">
        <v>157</v>
      </c>
      <c r="B255" s="1654" t="s">
        <v>328</v>
      </c>
      <c r="C255" s="1655"/>
      <c r="D255" s="1655"/>
      <c r="E255" s="1655"/>
      <c r="F255" s="1656"/>
      <c r="G255" s="767">
        <v>48</v>
      </c>
      <c r="H255" s="774" t="s">
        <v>52</v>
      </c>
      <c r="I255" s="860">
        <f>Plan1!I251*92%</f>
        <v>37.894799999999996</v>
      </c>
      <c r="J255" s="751">
        <f t="shared" si="15"/>
        <v>1818.95</v>
      </c>
      <c r="K255" s="1652"/>
      <c r="L255" s="791">
        <f>J255-0.1</f>
        <v>1818.8500000000001</v>
      </c>
      <c r="M255" s="865"/>
    </row>
    <row r="256" spans="1:13" s="759" customFormat="1" ht="30.6" customHeight="1">
      <c r="A256" s="760" t="s">
        <v>159</v>
      </c>
      <c r="B256" s="1654" t="s">
        <v>327</v>
      </c>
      <c r="C256" s="1655"/>
      <c r="D256" s="1655"/>
      <c r="E256" s="1655"/>
      <c r="F256" s="1656"/>
      <c r="G256" s="767">
        <v>12</v>
      </c>
      <c r="H256" s="774" t="s">
        <v>52</v>
      </c>
      <c r="I256" s="860">
        <f>Plan1!I252*92%</f>
        <v>22.033999999999999</v>
      </c>
      <c r="J256" s="751">
        <f t="shared" si="15"/>
        <v>264.41000000000003</v>
      </c>
      <c r="K256" s="1653"/>
      <c r="L256" s="791">
        <f t="shared" ref="L256" si="17">J256</f>
        <v>264.41000000000003</v>
      </c>
      <c r="M256" s="865"/>
    </row>
    <row r="257" spans="1:13" s="154" customFormat="1" ht="34.9" customHeight="1">
      <c r="A257" s="728" t="s">
        <v>186</v>
      </c>
      <c r="B257" s="1642" t="s">
        <v>167</v>
      </c>
      <c r="C257" s="1643"/>
      <c r="D257" s="1643"/>
      <c r="E257" s="1643"/>
      <c r="F257" s="1644"/>
      <c r="G257" s="236">
        <v>3</v>
      </c>
      <c r="H257" s="729" t="s">
        <v>326</v>
      </c>
      <c r="I257" s="861">
        <v>478.81</v>
      </c>
      <c r="J257" s="680">
        <f t="shared" si="15"/>
        <v>1436.43</v>
      </c>
      <c r="K257" s="721" t="s">
        <v>567</v>
      </c>
      <c r="L257" s="792"/>
      <c r="M257" s="868"/>
    </row>
    <row r="258" spans="1:13" s="154" customFormat="1" ht="34.9" customHeight="1">
      <c r="A258" s="728" t="s">
        <v>161</v>
      </c>
      <c r="B258" s="1642" t="s">
        <v>169</v>
      </c>
      <c r="C258" s="1643"/>
      <c r="D258" s="1643"/>
      <c r="E258" s="1643"/>
      <c r="F258" s="1644"/>
      <c r="G258" s="236">
        <v>2</v>
      </c>
      <c r="H258" s="729" t="s">
        <v>80</v>
      </c>
      <c r="I258" s="861">
        <v>229.27</v>
      </c>
      <c r="J258" s="680">
        <f t="shared" si="15"/>
        <v>458.54</v>
      </c>
      <c r="K258" s="721" t="s">
        <v>568</v>
      </c>
      <c r="L258" s="792"/>
      <c r="M258" s="868"/>
    </row>
    <row r="259" spans="1:13" s="154" customFormat="1" ht="34.9" customHeight="1">
      <c r="A259" s="728" t="s">
        <v>163</v>
      </c>
      <c r="B259" s="1642" t="s">
        <v>171</v>
      </c>
      <c r="C259" s="1643"/>
      <c r="D259" s="1643"/>
      <c r="E259" s="1643"/>
      <c r="F259" s="1644"/>
      <c r="G259" s="236">
        <v>2</v>
      </c>
      <c r="H259" s="729" t="s">
        <v>80</v>
      </c>
      <c r="I259" s="861">
        <v>424.53</v>
      </c>
      <c r="J259" s="680">
        <f t="shared" si="15"/>
        <v>849.06</v>
      </c>
      <c r="K259" s="721" t="s">
        <v>569</v>
      </c>
      <c r="L259" s="792"/>
      <c r="M259" s="868"/>
    </row>
    <row r="260" spans="1:13" s="154" customFormat="1" ht="34.9" customHeight="1">
      <c r="A260" s="728" t="s">
        <v>187</v>
      </c>
      <c r="B260" s="1642" t="s">
        <v>518</v>
      </c>
      <c r="C260" s="1643"/>
      <c r="D260" s="1643"/>
      <c r="E260" s="1643"/>
      <c r="F260" s="1644"/>
      <c r="G260" s="236">
        <v>2</v>
      </c>
      <c r="H260" s="729" t="s">
        <v>80</v>
      </c>
      <c r="I260" s="861">
        <v>607.38</v>
      </c>
      <c r="J260" s="680">
        <f t="shared" si="15"/>
        <v>1214.76</v>
      </c>
      <c r="K260" s="721" t="s">
        <v>570</v>
      </c>
      <c r="L260" s="792"/>
      <c r="M260" s="868"/>
    </row>
    <row r="261" spans="1:13" s="154" customFormat="1" ht="34.9" customHeight="1">
      <c r="A261" s="728" t="s">
        <v>166</v>
      </c>
      <c r="B261" s="1642" t="s">
        <v>175</v>
      </c>
      <c r="C261" s="1643"/>
      <c r="D261" s="1643"/>
      <c r="E261" s="1643"/>
      <c r="F261" s="1644"/>
      <c r="G261" s="236">
        <v>2</v>
      </c>
      <c r="H261" s="729" t="s">
        <v>80</v>
      </c>
      <c r="I261" s="861">
        <v>893.12</v>
      </c>
      <c r="J261" s="680">
        <f t="shared" si="15"/>
        <v>1786.24</v>
      </c>
      <c r="K261" s="721" t="s">
        <v>571</v>
      </c>
      <c r="L261" s="792"/>
      <c r="M261" s="868"/>
    </row>
    <row r="262" spans="1:13" s="154" customFormat="1" ht="34.9" customHeight="1">
      <c r="A262" s="728" t="s">
        <v>168</v>
      </c>
      <c r="B262" s="1642" t="s">
        <v>177</v>
      </c>
      <c r="C262" s="1643"/>
      <c r="D262" s="1643"/>
      <c r="E262" s="1643"/>
      <c r="F262" s="1644"/>
      <c r="G262" s="236">
        <v>4</v>
      </c>
      <c r="H262" s="729" t="s">
        <v>80</v>
      </c>
      <c r="I262" s="861">
        <v>133.59</v>
      </c>
      <c r="J262" s="680">
        <f>ROUND(G262*I262,2)</f>
        <v>534.36</v>
      </c>
      <c r="K262" s="721" t="s">
        <v>572</v>
      </c>
      <c r="L262" s="792"/>
      <c r="M262" s="868"/>
    </row>
    <row r="263" spans="1:13" s="154" customFormat="1" ht="34.9" customHeight="1">
      <c r="A263" s="728" t="s">
        <v>170</v>
      </c>
      <c r="B263" s="1642" t="s">
        <v>179</v>
      </c>
      <c r="C263" s="1643"/>
      <c r="D263" s="1643"/>
      <c r="E263" s="1643"/>
      <c r="F263" s="1644"/>
      <c r="G263" s="236">
        <v>2</v>
      </c>
      <c r="H263" s="729" t="s">
        <v>80</v>
      </c>
      <c r="I263" s="861">
        <v>87.15</v>
      </c>
      <c r="J263" s="680">
        <f t="shared" si="15"/>
        <v>174.3</v>
      </c>
      <c r="K263" s="721" t="s">
        <v>573</v>
      </c>
      <c r="L263" s="792"/>
      <c r="M263" s="868"/>
    </row>
    <row r="264" spans="1:13" s="154" customFormat="1" ht="34.9" customHeight="1">
      <c r="A264" s="728" t="s">
        <v>172</v>
      </c>
      <c r="B264" s="1642" t="s">
        <v>317</v>
      </c>
      <c r="C264" s="1643"/>
      <c r="D264" s="1643"/>
      <c r="E264" s="1643"/>
      <c r="F264" s="1644"/>
      <c r="G264" s="236">
        <v>1</v>
      </c>
      <c r="H264" s="729" t="s">
        <v>80</v>
      </c>
      <c r="I264" s="861">
        <v>62.8</v>
      </c>
      <c r="J264" s="680">
        <f>ROUND(G264*I264,2)</f>
        <v>62.8</v>
      </c>
      <c r="K264" s="721" t="s">
        <v>574</v>
      </c>
      <c r="L264" s="792"/>
      <c r="M264" s="868"/>
    </row>
    <row r="265" spans="1:13" s="16" customFormat="1" ht="16.899999999999999" customHeight="1">
      <c r="A265" s="385"/>
      <c r="B265" s="831"/>
      <c r="C265" s="832"/>
      <c r="D265" s="832"/>
      <c r="E265" s="832"/>
      <c r="F265" s="833"/>
      <c r="G265" s="231"/>
      <c r="H265" s="527"/>
      <c r="I265" s="529"/>
      <c r="J265" s="698"/>
      <c r="K265" s="690"/>
      <c r="L265" s="789"/>
      <c r="M265" s="800"/>
    </row>
    <row r="266" spans="1:13" s="16" customFormat="1" ht="16.5" customHeight="1">
      <c r="A266" s="380">
        <v>10</v>
      </c>
      <c r="B266" s="1310" t="s">
        <v>190</v>
      </c>
      <c r="C266" s="1311"/>
      <c r="D266" s="1311"/>
      <c r="E266" s="1311"/>
      <c r="F266" s="1312"/>
      <c r="G266" s="182"/>
      <c r="H266" s="524"/>
      <c r="I266" s="638"/>
      <c r="J266" s="696">
        <f>ROUND(SUM(J267:J268),2)</f>
        <v>2376.4899999999998</v>
      </c>
      <c r="K266" s="687"/>
      <c r="L266" s="789"/>
      <c r="M266" s="800"/>
    </row>
    <row r="267" spans="1:13" s="154" customFormat="1" ht="34.9" customHeight="1">
      <c r="A267" s="728" t="s">
        <v>194</v>
      </c>
      <c r="B267" s="1642" t="s">
        <v>324</v>
      </c>
      <c r="C267" s="1643"/>
      <c r="D267" s="1643"/>
      <c r="E267" s="1643"/>
      <c r="F267" s="1644"/>
      <c r="G267" s="236">
        <v>9</v>
      </c>
      <c r="H267" s="729" t="s">
        <v>96</v>
      </c>
      <c r="I267" s="861">
        <v>29.78</v>
      </c>
      <c r="J267" s="680">
        <f>ROUND(G267*I267,2)</f>
        <v>268.02</v>
      </c>
      <c r="K267" s="721" t="s">
        <v>575</v>
      </c>
      <c r="L267" s="792"/>
      <c r="M267" s="868"/>
    </row>
    <row r="268" spans="1:13" s="154" customFormat="1" ht="34.9" customHeight="1">
      <c r="A268" s="728" t="s">
        <v>596</v>
      </c>
      <c r="B268" s="1642" t="s">
        <v>193</v>
      </c>
      <c r="C268" s="1643"/>
      <c r="D268" s="1643"/>
      <c r="E268" s="1643"/>
      <c r="F268" s="1644"/>
      <c r="G268" s="236">
        <v>105.9</v>
      </c>
      <c r="H268" s="729" t="s">
        <v>96</v>
      </c>
      <c r="I268" s="861">
        <v>19.91</v>
      </c>
      <c r="J268" s="680">
        <f>ROUND(G268*I268,2)</f>
        <v>2108.4699999999998</v>
      </c>
      <c r="K268" s="721" t="s">
        <v>576</v>
      </c>
      <c r="L268" s="792"/>
      <c r="M268" s="868"/>
    </row>
    <row r="269" spans="1:13" s="16" customFormat="1" ht="13.9" customHeight="1">
      <c r="A269" s="840"/>
      <c r="B269" s="802"/>
      <c r="C269" s="820"/>
      <c r="D269" s="820"/>
      <c r="E269" s="820"/>
      <c r="F269" s="803"/>
      <c r="G269" s="819"/>
      <c r="H269" s="824"/>
      <c r="I269" s="190"/>
      <c r="J269" s="289"/>
      <c r="K269" s="689"/>
      <c r="L269" s="789"/>
      <c r="M269" s="800"/>
    </row>
    <row r="270" spans="1:13" s="16" customFormat="1" ht="15.6" customHeight="1">
      <c r="A270" s="439">
        <v>11</v>
      </c>
      <c r="B270" s="1310" t="s">
        <v>195</v>
      </c>
      <c r="C270" s="1311"/>
      <c r="D270" s="1311"/>
      <c r="E270" s="1311"/>
      <c r="F270" s="1312"/>
      <c r="G270" s="182"/>
      <c r="H270" s="524"/>
      <c r="I270" s="638"/>
      <c r="J270" s="696">
        <f>ROUND(SUM(J271:J279),2)</f>
        <v>17149.43</v>
      </c>
      <c r="K270" s="687"/>
      <c r="L270" s="789"/>
      <c r="M270" s="800"/>
    </row>
    <row r="271" spans="1:13" s="154" customFormat="1" ht="34.9" customHeight="1">
      <c r="A271" s="728" t="s">
        <v>197</v>
      </c>
      <c r="B271" s="1642" t="s">
        <v>196</v>
      </c>
      <c r="C271" s="1643"/>
      <c r="D271" s="1643"/>
      <c r="E271" s="1643"/>
      <c r="F271" s="1644"/>
      <c r="G271" s="236">
        <v>4.8</v>
      </c>
      <c r="H271" s="729" t="s">
        <v>96</v>
      </c>
      <c r="I271" s="861">
        <v>170.34</v>
      </c>
      <c r="J271" s="680">
        <f>ROUND(G271*I271,2)</f>
        <v>817.63</v>
      </c>
      <c r="K271" s="721" t="s">
        <v>577</v>
      </c>
      <c r="L271" s="792"/>
      <c r="M271" s="868"/>
    </row>
    <row r="272" spans="1:13" s="154" customFormat="1" ht="34.9" customHeight="1">
      <c r="A272" s="728" t="s">
        <v>338</v>
      </c>
      <c r="B272" s="1642" t="s">
        <v>519</v>
      </c>
      <c r="C272" s="1643"/>
      <c r="D272" s="1643"/>
      <c r="E272" s="1643"/>
      <c r="F272" s="1644"/>
      <c r="G272" s="236">
        <v>2</v>
      </c>
      <c r="H272" s="729" t="s">
        <v>189</v>
      </c>
      <c r="I272" s="861">
        <v>249.78</v>
      </c>
      <c r="J272" s="680">
        <f t="shared" ref="J272:J279" si="18">ROUND(G272*I272,2)</f>
        <v>499.56</v>
      </c>
      <c r="K272" s="721" t="s">
        <v>578</v>
      </c>
      <c r="L272" s="792"/>
      <c r="M272" s="868"/>
    </row>
    <row r="273" spans="1:13" s="154" customFormat="1" ht="34.9" customHeight="1">
      <c r="A273" s="728" t="s">
        <v>339</v>
      </c>
      <c r="B273" s="1642" t="s">
        <v>180</v>
      </c>
      <c r="C273" s="1643"/>
      <c r="D273" s="1643"/>
      <c r="E273" s="1643"/>
      <c r="F273" s="1644"/>
      <c r="G273" s="236">
        <v>2</v>
      </c>
      <c r="H273" s="729" t="s">
        <v>80</v>
      </c>
      <c r="I273" s="861">
        <v>223.46</v>
      </c>
      <c r="J273" s="680">
        <f t="shared" si="18"/>
        <v>446.92</v>
      </c>
      <c r="K273" s="721" t="s">
        <v>579</v>
      </c>
      <c r="L273" s="792"/>
      <c r="M273" s="868"/>
    </row>
    <row r="274" spans="1:13" s="154" customFormat="1" ht="34.9" customHeight="1">
      <c r="A274" s="728" t="s">
        <v>340</v>
      </c>
      <c r="B274" s="1642" t="s">
        <v>181</v>
      </c>
      <c r="C274" s="1643"/>
      <c r="D274" s="1643"/>
      <c r="E274" s="1643"/>
      <c r="F274" s="1644"/>
      <c r="G274" s="236">
        <v>2</v>
      </c>
      <c r="H274" s="729" t="s">
        <v>80</v>
      </c>
      <c r="I274" s="861">
        <v>459.23</v>
      </c>
      <c r="J274" s="680">
        <f t="shared" si="18"/>
        <v>918.46</v>
      </c>
      <c r="K274" s="721" t="s">
        <v>580</v>
      </c>
      <c r="L274" s="792"/>
      <c r="M274" s="868"/>
    </row>
    <row r="275" spans="1:13" s="759" customFormat="1" ht="34.9" customHeight="1">
      <c r="A275" s="775" t="s">
        <v>341</v>
      </c>
      <c r="B275" s="1645" t="s">
        <v>182</v>
      </c>
      <c r="C275" s="1646"/>
      <c r="D275" s="1646"/>
      <c r="E275" s="1646"/>
      <c r="F275" s="1647"/>
      <c r="G275" s="767">
        <v>20</v>
      </c>
      <c r="H275" s="770" t="s">
        <v>96</v>
      </c>
      <c r="I275" s="860">
        <v>156.16999999999999</v>
      </c>
      <c r="J275" s="750">
        <f t="shared" si="18"/>
        <v>3123.4</v>
      </c>
      <c r="K275" s="766" t="s">
        <v>543</v>
      </c>
      <c r="L275" s="791">
        <f>J275</f>
        <v>3123.4</v>
      </c>
      <c r="M275" s="865"/>
    </row>
    <row r="276" spans="1:13" s="154" customFormat="1" ht="34.9" customHeight="1">
      <c r="A276" s="728" t="s">
        <v>341</v>
      </c>
      <c r="B276" s="1642" t="s">
        <v>182</v>
      </c>
      <c r="C276" s="1643"/>
      <c r="D276" s="1643"/>
      <c r="E276" s="1643"/>
      <c r="F276" s="1644"/>
      <c r="G276" s="236">
        <v>20</v>
      </c>
      <c r="H276" s="729" t="s">
        <v>96</v>
      </c>
      <c r="I276" s="861">
        <v>178.07</v>
      </c>
      <c r="J276" s="680">
        <f t="shared" si="18"/>
        <v>3561.4</v>
      </c>
      <c r="K276" s="721" t="s">
        <v>581</v>
      </c>
      <c r="L276" s="792"/>
      <c r="M276" s="868"/>
    </row>
    <row r="277" spans="1:13" s="154" customFormat="1" ht="34.9" customHeight="1">
      <c r="A277" s="728" t="s">
        <v>342</v>
      </c>
      <c r="B277" s="1642" t="s">
        <v>183</v>
      </c>
      <c r="C277" s="1643"/>
      <c r="D277" s="1643"/>
      <c r="E277" s="1643"/>
      <c r="F277" s="1644"/>
      <c r="G277" s="236">
        <v>3</v>
      </c>
      <c r="H277" s="729" t="s">
        <v>80</v>
      </c>
      <c r="I277" s="861">
        <v>233.68</v>
      </c>
      <c r="J277" s="680">
        <f t="shared" si="18"/>
        <v>701.04</v>
      </c>
      <c r="K277" s="721" t="s">
        <v>582</v>
      </c>
      <c r="L277" s="792"/>
      <c r="M277" s="868"/>
    </row>
    <row r="278" spans="1:13" s="154" customFormat="1" ht="34.9" customHeight="1">
      <c r="A278" s="723" t="s">
        <v>343</v>
      </c>
      <c r="B278" s="1514" t="s">
        <v>344</v>
      </c>
      <c r="C278" s="1515"/>
      <c r="D278" s="1515"/>
      <c r="E278" s="1515"/>
      <c r="F278" s="1516"/>
      <c r="G278" s="236">
        <f>6+3</f>
        <v>9</v>
      </c>
      <c r="H278" s="237" t="s">
        <v>96</v>
      </c>
      <c r="I278" s="861">
        <v>723.1</v>
      </c>
      <c r="J278" s="680">
        <f t="shared" si="18"/>
        <v>6507.9</v>
      </c>
      <c r="K278" s="721" t="s">
        <v>583</v>
      </c>
      <c r="L278" s="792"/>
      <c r="M278" s="868"/>
    </row>
    <row r="279" spans="1:13" s="154" customFormat="1" ht="34.9" customHeight="1">
      <c r="A279" s="722" t="s">
        <v>368</v>
      </c>
      <c r="B279" s="1514" t="s">
        <v>544</v>
      </c>
      <c r="C279" s="1515"/>
      <c r="D279" s="1515"/>
      <c r="E279" s="1515"/>
      <c r="F279" s="1516"/>
      <c r="G279" s="236">
        <v>18</v>
      </c>
      <c r="H279" s="237" t="s">
        <v>96</v>
      </c>
      <c r="I279" s="861">
        <v>31.84</v>
      </c>
      <c r="J279" s="680">
        <f t="shared" si="18"/>
        <v>573.12</v>
      </c>
      <c r="K279" s="721" t="s">
        <v>584</v>
      </c>
      <c r="L279" s="792"/>
      <c r="M279" s="792">
        <f>SUM(L187:L276)+0.1</f>
        <v>29767.950000000004</v>
      </c>
    </row>
    <row r="280" spans="1:13" s="16" customFormat="1" ht="16.899999999999999" customHeight="1">
      <c r="A280" s="397"/>
      <c r="B280" s="1514"/>
      <c r="C280" s="1515"/>
      <c r="D280" s="1515"/>
      <c r="E280" s="1515"/>
      <c r="F280" s="1516"/>
      <c r="G280" s="236"/>
      <c r="H280" s="237"/>
      <c r="I280" s="645"/>
      <c r="J280" s="672"/>
      <c r="K280" s="690"/>
      <c r="L280" s="789"/>
      <c r="M280" s="800"/>
    </row>
    <row r="281" spans="1:13" s="16" customFormat="1" ht="15.6" customHeight="1">
      <c r="A281" s="416"/>
      <c r="B281" s="293"/>
      <c r="C281" s="293"/>
      <c r="D281" s="293"/>
      <c r="E281" s="293"/>
      <c r="F281" s="293"/>
      <c r="G281" s="264"/>
      <c r="H281" s="807" t="s">
        <v>286</v>
      </c>
      <c r="I281" s="646"/>
      <c r="J281" s="666">
        <f>ROUND(J270+J266+J243+J226+J219+J214+J211+J206+J199+J190+J187,2)-M279</f>
        <v>34937.869999999995</v>
      </c>
      <c r="K281" s="687"/>
      <c r="L281" s="791">
        <f>SUM(L141:L280)-1.26</f>
        <v>181534.41999999998</v>
      </c>
      <c r="M281" s="800"/>
    </row>
    <row r="282" spans="1:13" s="16" customFormat="1" ht="15.6" customHeight="1">
      <c r="A282" s="460"/>
      <c r="B282" s="827"/>
      <c r="C282" s="827"/>
      <c r="D282" s="827"/>
      <c r="E282" s="827"/>
      <c r="F282" s="827"/>
      <c r="G282" s="294"/>
      <c r="H282" s="595"/>
      <c r="I282" s="647"/>
      <c r="J282" s="701"/>
      <c r="K282" s="687"/>
      <c r="L282" s="789"/>
      <c r="M282" s="800"/>
    </row>
    <row r="283" spans="1:13" s="16" customFormat="1" ht="12.6" customHeight="1">
      <c r="A283" s="460"/>
      <c r="B283" s="827"/>
      <c r="C283" s="827"/>
      <c r="D283" s="827"/>
      <c r="E283" s="827"/>
      <c r="F283" s="827"/>
      <c r="G283" s="294"/>
      <c r="H283" s="254"/>
      <c r="I283" s="647"/>
      <c r="J283" s="701"/>
      <c r="K283" s="687"/>
      <c r="L283" s="789"/>
      <c r="M283" s="800"/>
    </row>
    <row r="284" spans="1:13" s="16" customFormat="1" ht="14.45" customHeight="1">
      <c r="A284" s="1526" t="s">
        <v>463</v>
      </c>
      <c r="B284" s="1317"/>
      <c r="C284" s="1317"/>
      <c r="D284" s="1317"/>
      <c r="E284" s="1317"/>
      <c r="F284" s="1317"/>
      <c r="G284" s="1317"/>
      <c r="H284" s="1317"/>
      <c r="I284" s="1317"/>
      <c r="J284" s="1317"/>
      <c r="K284" s="684"/>
      <c r="L284" s="789"/>
      <c r="M284" s="800"/>
    </row>
    <row r="285" spans="1:13" s="16" customFormat="1" ht="16.899999999999999" customHeight="1">
      <c r="A285" s="380">
        <v>1</v>
      </c>
      <c r="B285" s="1301" t="s">
        <v>91</v>
      </c>
      <c r="C285" s="1302"/>
      <c r="D285" s="1302"/>
      <c r="E285" s="1302"/>
      <c r="F285" s="1303"/>
      <c r="G285" s="221"/>
      <c r="H285" s="222"/>
      <c r="I285" s="648"/>
      <c r="J285" s="702">
        <f>ROUND(SUM(J286:J290),2)</f>
        <v>7448.62</v>
      </c>
      <c r="K285" s="692"/>
      <c r="L285" s="789"/>
      <c r="M285" s="800"/>
    </row>
    <row r="286" spans="1:13" s="154" customFormat="1" ht="34.9" customHeight="1">
      <c r="A286" s="722" t="s">
        <v>37</v>
      </c>
      <c r="B286" s="1514" t="s">
        <v>85</v>
      </c>
      <c r="C286" s="1515"/>
      <c r="D286" s="1515"/>
      <c r="E286" s="1515"/>
      <c r="F286" s="1516"/>
      <c r="G286" s="236">
        <v>4.4400000000000004</v>
      </c>
      <c r="H286" s="237" t="s">
        <v>92</v>
      </c>
      <c r="I286" s="861">
        <v>40.950000000000003</v>
      </c>
      <c r="J286" s="680">
        <f>ROUND(G286*I286,2)</f>
        <v>181.82</v>
      </c>
      <c r="K286" s="721" t="s">
        <v>585</v>
      </c>
      <c r="L286" s="792"/>
      <c r="M286" s="868"/>
    </row>
    <row r="287" spans="1:13" s="154" customFormat="1" ht="34.9" customHeight="1">
      <c r="A287" s="722" t="s">
        <v>39</v>
      </c>
      <c r="B287" s="1514" t="s">
        <v>49</v>
      </c>
      <c r="C287" s="1515"/>
      <c r="D287" s="1515"/>
      <c r="E287" s="1515"/>
      <c r="F287" s="1516"/>
      <c r="G287" s="236">
        <v>68</v>
      </c>
      <c r="H287" s="237" t="s">
        <v>52</v>
      </c>
      <c r="I287" s="861">
        <v>44.52</v>
      </c>
      <c r="J287" s="680">
        <f t="shared" ref="J287:J290" si="19">ROUND(G287*I287,2)</f>
        <v>3027.36</v>
      </c>
      <c r="K287" s="721" t="s">
        <v>586</v>
      </c>
      <c r="L287" s="792"/>
      <c r="M287" s="868"/>
    </row>
    <row r="288" spans="1:13" s="154" customFormat="1" ht="34.9" customHeight="1">
      <c r="A288" s="722" t="s">
        <v>345</v>
      </c>
      <c r="B288" s="1514" t="s">
        <v>87</v>
      </c>
      <c r="C288" s="1515"/>
      <c r="D288" s="1515"/>
      <c r="E288" s="1515"/>
      <c r="F288" s="1516"/>
      <c r="G288" s="236">
        <v>399.6</v>
      </c>
      <c r="H288" s="237" t="s">
        <v>50</v>
      </c>
      <c r="I288" s="861">
        <v>6.24</v>
      </c>
      <c r="J288" s="680">
        <f t="shared" si="19"/>
        <v>2493.5</v>
      </c>
      <c r="K288" s="721" t="s">
        <v>587</v>
      </c>
      <c r="L288" s="792"/>
      <c r="M288" s="868"/>
    </row>
    <row r="289" spans="1:13" s="154" customFormat="1" ht="34.9" customHeight="1">
      <c r="A289" s="722" t="s">
        <v>347</v>
      </c>
      <c r="B289" s="1514" t="s">
        <v>89</v>
      </c>
      <c r="C289" s="1515"/>
      <c r="D289" s="1515"/>
      <c r="E289" s="1515"/>
      <c r="F289" s="1516"/>
      <c r="G289" s="236">
        <v>4.4400000000000004</v>
      </c>
      <c r="H289" s="237" t="s">
        <v>92</v>
      </c>
      <c r="I289" s="861">
        <v>278.13</v>
      </c>
      <c r="J289" s="680">
        <f t="shared" si="19"/>
        <v>1234.9000000000001</v>
      </c>
      <c r="K289" s="721" t="s">
        <v>588</v>
      </c>
      <c r="L289" s="792"/>
      <c r="M289" s="868"/>
    </row>
    <row r="290" spans="1:13" s="154" customFormat="1" ht="34.9" customHeight="1">
      <c r="A290" s="722" t="s">
        <v>349</v>
      </c>
      <c r="B290" s="1514" t="s">
        <v>90</v>
      </c>
      <c r="C290" s="1515"/>
      <c r="D290" s="1515"/>
      <c r="E290" s="1515"/>
      <c r="F290" s="1516"/>
      <c r="G290" s="236">
        <v>4.4400000000000004</v>
      </c>
      <c r="H290" s="237" t="s">
        <v>92</v>
      </c>
      <c r="I290" s="861">
        <v>115.1</v>
      </c>
      <c r="J290" s="680">
        <f t="shared" si="19"/>
        <v>511.04</v>
      </c>
      <c r="K290" s="721" t="s">
        <v>589</v>
      </c>
      <c r="L290" s="792"/>
      <c r="M290" s="868"/>
    </row>
    <row r="291" spans="1:13" s="16" customFormat="1" ht="19.149999999999999" customHeight="1">
      <c r="A291" s="397"/>
      <c r="B291" s="814"/>
      <c r="C291" s="809"/>
      <c r="D291" s="809"/>
      <c r="E291" s="809"/>
      <c r="F291" s="810"/>
      <c r="G291" s="201"/>
      <c r="H291" s="186"/>
      <c r="I291" s="649"/>
      <c r="J291" s="670"/>
      <c r="K291" s="690"/>
      <c r="L291" s="789"/>
      <c r="M291" s="800"/>
    </row>
    <row r="292" spans="1:13" s="16" customFormat="1" ht="13.9" customHeight="1">
      <c r="A292" s="380">
        <v>2</v>
      </c>
      <c r="B292" s="1301" t="s">
        <v>351</v>
      </c>
      <c r="C292" s="1302"/>
      <c r="D292" s="1302"/>
      <c r="E292" s="1302"/>
      <c r="F292" s="1303"/>
      <c r="G292" s="221"/>
      <c r="H292" s="222"/>
      <c r="I292" s="648"/>
      <c r="J292" s="702">
        <f>ROUND(SUM(J293:J298),2)</f>
        <v>13337.1</v>
      </c>
      <c r="K292" s="692"/>
      <c r="L292" s="789"/>
      <c r="M292" s="800"/>
    </row>
    <row r="293" spans="1:13" s="154" customFormat="1" ht="30.6" customHeight="1">
      <c r="A293" s="723" t="s">
        <v>84</v>
      </c>
      <c r="B293" s="1514" t="s">
        <v>352</v>
      </c>
      <c r="C293" s="1515"/>
      <c r="D293" s="1515"/>
      <c r="E293" s="1515"/>
      <c r="F293" s="1516"/>
      <c r="G293" s="236">
        <v>0.45</v>
      </c>
      <c r="H293" s="732" t="s">
        <v>92</v>
      </c>
      <c r="I293" s="861">
        <v>54.6</v>
      </c>
      <c r="J293" s="727">
        <f>ROUND(G293*I293,2)</f>
        <v>24.57</v>
      </c>
      <c r="K293" s="721" t="s">
        <v>590</v>
      </c>
      <c r="L293" s="792"/>
      <c r="M293" s="868"/>
    </row>
    <row r="294" spans="1:13" s="154" customFormat="1" ht="30.6" customHeight="1">
      <c r="A294" s="723" t="s">
        <v>43</v>
      </c>
      <c r="B294" s="1514" t="s">
        <v>353</v>
      </c>
      <c r="C294" s="1515"/>
      <c r="D294" s="1515"/>
      <c r="E294" s="1515"/>
      <c r="F294" s="1516"/>
      <c r="G294" s="236">
        <v>142</v>
      </c>
      <c r="H294" s="732" t="s">
        <v>96</v>
      </c>
      <c r="I294" s="861">
        <v>43.81</v>
      </c>
      <c r="J294" s="727">
        <f t="shared" ref="J294:J298" si="20">ROUND(G294*I294,2)</f>
        <v>6221.02</v>
      </c>
      <c r="K294" s="721" t="s">
        <v>591</v>
      </c>
      <c r="L294" s="792"/>
      <c r="M294" s="868"/>
    </row>
    <row r="295" spans="1:13" s="154" customFormat="1" ht="30.6" customHeight="1">
      <c r="A295" s="723" t="s">
        <v>240</v>
      </c>
      <c r="B295" s="1514" t="s">
        <v>89</v>
      </c>
      <c r="C295" s="1515"/>
      <c r="D295" s="1515"/>
      <c r="E295" s="1515"/>
      <c r="F295" s="1516"/>
      <c r="G295" s="236">
        <v>1.53</v>
      </c>
      <c r="H295" s="732" t="s">
        <v>92</v>
      </c>
      <c r="I295" s="861">
        <v>278.13</v>
      </c>
      <c r="J295" s="727">
        <f t="shared" si="20"/>
        <v>425.54</v>
      </c>
      <c r="K295" s="721" t="s">
        <v>588</v>
      </c>
      <c r="L295" s="792"/>
      <c r="M295" s="868"/>
    </row>
    <row r="296" spans="1:13" s="154" customFormat="1" ht="30.6" customHeight="1">
      <c r="A296" s="723" t="s">
        <v>45</v>
      </c>
      <c r="B296" s="1514" t="s">
        <v>354</v>
      </c>
      <c r="C296" s="1515"/>
      <c r="D296" s="1515"/>
      <c r="E296" s="1515"/>
      <c r="F296" s="1516"/>
      <c r="G296" s="236">
        <v>137.69999999999999</v>
      </c>
      <c r="H296" s="732" t="s">
        <v>50</v>
      </c>
      <c r="I296" s="861">
        <v>6.24</v>
      </c>
      <c r="J296" s="727">
        <f t="shared" si="20"/>
        <v>859.25</v>
      </c>
      <c r="K296" s="721" t="s">
        <v>587</v>
      </c>
      <c r="L296" s="792"/>
      <c r="M296" s="868"/>
    </row>
    <row r="297" spans="1:13" s="154" customFormat="1" ht="30.6" customHeight="1">
      <c r="A297" s="723" t="s">
        <v>47</v>
      </c>
      <c r="B297" s="1514" t="s">
        <v>321</v>
      </c>
      <c r="C297" s="1515"/>
      <c r="D297" s="1515"/>
      <c r="E297" s="1515"/>
      <c r="F297" s="1516"/>
      <c r="G297" s="236">
        <v>1.53</v>
      </c>
      <c r="H297" s="732" t="s">
        <v>92</v>
      </c>
      <c r="I297" s="861">
        <v>79.510000000000005</v>
      </c>
      <c r="J297" s="727">
        <f t="shared" si="20"/>
        <v>121.65</v>
      </c>
      <c r="K297" s="721" t="s">
        <v>592</v>
      </c>
      <c r="L297" s="792"/>
      <c r="M297" s="868"/>
    </row>
    <row r="298" spans="1:13" s="154" customFormat="1" ht="30.6" customHeight="1">
      <c r="A298" s="723" t="s">
        <v>48</v>
      </c>
      <c r="B298" s="1514" t="s">
        <v>323</v>
      </c>
      <c r="C298" s="1515"/>
      <c r="D298" s="1515"/>
      <c r="E298" s="1515"/>
      <c r="F298" s="1516"/>
      <c r="G298" s="236">
        <v>40.799999999999997</v>
      </c>
      <c r="H298" s="732" t="s">
        <v>96</v>
      </c>
      <c r="I298" s="861">
        <v>139.34</v>
      </c>
      <c r="J298" s="727">
        <f t="shared" si="20"/>
        <v>5685.07</v>
      </c>
      <c r="K298" s="721" t="s">
        <v>593</v>
      </c>
      <c r="L298" s="792"/>
      <c r="M298" s="868"/>
    </row>
    <row r="299" spans="1:13" s="16" customFormat="1" ht="18" customHeight="1">
      <c r="A299" s="551"/>
      <c r="B299" s="543"/>
      <c r="C299" s="850"/>
      <c r="D299" s="850"/>
      <c r="E299" s="850"/>
      <c r="F299" s="851"/>
      <c r="G299" s="201"/>
      <c r="H299" s="202"/>
      <c r="I299" s="650"/>
      <c r="J299" s="703"/>
      <c r="K299" s="690"/>
      <c r="L299" s="789"/>
      <c r="M299" s="800"/>
    </row>
    <row r="300" spans="1:13" s="16" customFormat="1" ht="16.149999999999999" customHeight="1">
      <c r="A300" s="439">
        <v>3</v>
      </c>
      <c r="B300" s="1301" t="s">
        <v>208</v>
      </c>
      <c r="C300" s="1302"/>
      <c r="D300" s="1302"/>
      <c r="E300" s="1302"/>
      <c r="F300" s="1303"/>
      <c r="G300" s="221"/>
      <c r="H300" s="222"/>
      <c r="I300" s="651"/>
      <c r="J300" s="704">
        <f>ROUND(SUM(J301:J302),2)</f>
        <v>5535.16</v>
      </c>
      <c r="K300" s="692"/>
      <c r="L300" s="789"/>
      <c r="M300" s="800"/>
    </row>
    <row r="301" spans="1:13" s="154" customFormat="1" ht="26.45" customHeight="1">
      <c r="A301" s="723" t="s">
        <v>54</v>
      </c>
      <c r="B301" s="838" t="s">
        <v>65</v>
      </c>
      <c r="C301" s="834"/>
      <c r="D301" s="834"/>
      <c r="E301" s="834"/>
      <c r="F301" s="835"/>
      <c r="G301" s="236">
        <v>284</v>
      </c>
      <c r="H301" s="237" t="s">
        <v>96</v>
      </c>
      <c r="I301" s="861">
        <v>4.6100000000000003</v>
      </c>
      <c r="J301" s="727">
        <f>ROUND(G301*I301,2)</f>
        <v>1309.24</v>
      </c>
      <c r="K301" s="721" t="s">
        <v>594</v>
      </c>
      <c r="L301" s="792"/>
      <c r="M301" s="868"/>
    </row>
    <row r="302" spans="1:13" s="154" customFormat="1" ht="30" customHeight="1" thickBot="1">
      <c r="A302" s="733" t="s">
        <v>95</v>
      </c>
      <c r="B302" s="734" t="s">
        <v>66</v>
      </c>
      <c r="C302" s="836"/>
      <c r="D302" s="836"/>
      <c r="E302" s="836"/>
      <c r="F302" s="837"/>
      <c r="G302" s="735">
        <v>284</v>
      </c>
      <c r="H302" s="442" t="s">
        <v>96</v>
      </c>
      <c r="I302" s="863">
        <v>14.88</v>
      </c>
      <c r="J302" s="736">
        <f>ROUND(G302*I302,2)</f>
        <v>4225.92</v>
      </c>
      <c r="K302" s="721" t="s">
        <v>595</v>
      </c>
      <c r="L302" s="792"/>
      <c r="M302" s="868"/>
    </row>
    <row r="303" spans="1:13" s="16" customFormat="1" ht="13.9" customHeight="1" thickTop="1">
      <c r="A303" s="555"/>
      <c r="B303" s="596"/>
      <c r="C303" s="556"/>
      <c r="D303" s="556"/>
      <c r="E303" s="556"/>
      <c r="F303" s="556"/>
      <c r="G303" s="557"/>
      <c r="H303" s="555"/>
      <c r="I303" s="628"/>
      <c r="J303" s="558"/>
      <c r="K303" s="584"/>
      <c r="L303" s="789"/>
    </row>
    <row r="304" spans="1:13" s="16" customFormat="1" ht="13.9" customHeight="1" thickBot="1">
      <c r="A304" s="559"/>
      <c r="B304" s="597"/>
      <c r="C304" s="560"/>
      <c r="D304" s="560"/>
      <c r="E304" s="560"/>
      <c r="F304" s="560"/>
      <c r="G304" s="561"/>
      <c r="H304" s="559"/>
      <c r="I304" s="644"/>
      <c r="J304" s="562"/>
      <c r="K304" s="584"/>
      <c r="L304" s="789"/>
    </row>
    <row r="305" spans="1:14" s="16" customFormat="1" ht="16.899999999999999" customHeight="1" thickTop="1">
      <c r="A305" s="439">
        <v>4</v>
      </c>
      <c r="B305" s="1301" t="s">
        <v>350</v>
      </c>
      <c r="C305" s="1302"/>
      <c r="D305" s="1302"/>
      <c r="E305" s="1302"/>
      <c r="F305" s="1303"/>
      <c r="G305" s="221"/>
      <c r="H305" s="222"/>
      <c r="I305" s="651"/>
      <c r="J305" s="704">
        <f>J306</f>
        <v>5654.44</v>
      </c>
      <c r="K305" s="692"/>
      <c r="L305" s="789"/>
    </row>
    <row r="306" spans="1:14" s="154" customFormat="1" ht="25.9" customHeight="1">
      <c r="A306" s="723" t="s">
        <v>58</v>
      </c>
      <c r="B306" s="838" t="s">
        <v>193</v>
      </c>
      <c r="C306" s="834"/>
      <c r="D306" s="834"/>
      <c r="E306" s="834"/>
      <c r="F306" s="835"/>
      <c r="G306" s="236">
        <v>284</v>
      </c>
      <c r="H306" s="237" t="s">
        <v>96</v>
      </c>
      <c r="I306" s="861">
        <v>19.91</v>
      </c>
      <c r="J306" s="727">
        <f>ROUND(G306*I306,2)</f>
        <v>5654.44</v>
      </c>
      <c r="K306" s="721" t="s">
        <v>576</v>
      </c>
      <c r="L306" s="792"/>
    </row>
    <row r="307" spans="1:14" s="16" customFormat="1" ht="12.4" customHeight="1">
      <c r="A307" s="397"/>
      <c r="B307" s="814"/>
      <c r="C307" s="809"/>
      <c r="D307" s="809"/>
      <c r="E307" s="809"/>
      <c r="F307" s="810"/>
      <c r="G307" s="201"/>
      <c r="H307" s="186"/>
      <c r="I307" s="649"/>
      <c r="J307" s="670"/>
      <c r="K307" s="690"/>
      <c r="L307" s="789"/>
    </row>
    <row r="308" spans="1:14" s="858" customFormat="1" ht="12.4" customHeight="1">
      <c r="A308" s="839"/>
      <c r="B308" s="811"/>
      <c r="C308" s="811"/>
      <c r="D308" s="811"/>
      <c r="E308" s="811"/>
      <c r="F308" s="811"/>
      <c r="G308" s="822"/>
      <c r="H308" s="807" t="s">
        <v>286</v>
      </c>
      <c r="I308" s="856"/>
      <c r="J308" s="666">
        <f>SUM(J285+J292+J300+J305)</f>
        <v>31975.32</v>
      </c>
      <c r="K308" s="687"/>
      <c r="L308" s="857"/>
    </row>
    <row r="309" spans="1:14" s="16" customFormat="1" ht="12.4" customHeight="1">
      <c r="A309" s="397"/>
      <c r="B309" s="814"/>
      <c r="C309" s="809"/>
      <c r="D309" s="809"/>
      <c r="E309" s="809"/>
      <c r="F309" s="810"/>
      <c r="G309" s="201"/>
      <c r="H309" s="186"/>
      <c r="I309" s="649"/>
      <c r="J309" s="670"/>
      <c r="K309" s="690"/>
      <c r="L309" s="789"/>
    </row>
    <row r="310" spans="1:14" s="16" customFormat="1" ht="15" customHeight="1">
      <c r="A310" s="1548" t="s">
        <v>21</v>
      </c>
      <c r="B310" s="1549"/>
      <c r="C310" s="1550"/>
      <c r="D310" s="1550"/>
      <c r="E310" s="1550"/>
      <c r="F310" s="1550"/>
      <c r="G310" s="1550"/>
      <c r="H310" s="1550"/>
      <c r="I310" s="652" t="s">
        <v>22</v>
      </c>
      <c r="J310" s="705">
        <f>ROUND(SUM(J184+J281+J308),2)+L281</f>
        <v>310556.31999999995</v>
      </c>
      <c r="K310" s="707"/>
      <c r="L310" s="789"/>
      <c r="M310" s="171"/>
      <c r="N310" s="800"/>
    </row>
    <row r="311" spans="1:14" s="16" customFormat="1" ht="16.899999999999999" customHeight="1">
      <c r="A311" s="1548" t="s">
        <v>538</v>
      </c>
      <c r="B311" s="1549"/>
      <c r="C311" s="1550"/>
      <c r="D311" s="1550"/>
      <c r="E311" s="1550"/>
      <c r="F311" s="1550"/>
      <c r="G311" s="1550"/>
      <c r="H311" s="1550"/>
      <c r="I311" s="653"/>
      <c r="J311" s="706">
        <f>J310-L281</f>
        <v>129021.89999999997</v>
      </c>
      <c r="K311" s="708"/>
      <c r="L311" s="789"/>
    </row>
    <row r="312" spans="1:14" s="16" customFormat="1" ht="16.899999999999999" customHeight="1">
      <c r="A312" s="1548" t="s">
        <v>539</v>
      </c>
      <c r="B312" s="1550"/>
      <c r="C312" s="1550"/>
      <c r="D312" s="1550"/>
      <c r="E312" s="1550"/>
      <c r="F312" s="1550"/>
      <c r="G312" s="1550"/>
      <c r="H312" s="1550"/>
      <c r="I312" s="653"/>
      <c r="J312" s="706">
        <f>L281</f>
        <v>181534.41999999998</v>
      </c>
      <c r="K312" s="864"/>
      <c r="L312" s="789"/>
    </row>
    <row r="313" spans="1:14" s="16" customFormat="1" ht="16.899999999999999" customHeight="1">
      <c r="A313" s="1526" t="s">
        <v>540</v>
      </c>
      <c r="B313" s="1317"/>
      <c r="C313" s="1317"/>
      <c r="D313" s="1317"/>
      <c r="E313" s="1317"/>
      <c r="F313" s="1317"/>
      <c r="G313" s="1317"/>
      <c r="H313" s="1318"/>
      <c r="I313" s="1641">
        <f>J311*K313</f>
        <v>50465.679999999986</v>
      </c>
      <c r="J313" s="1641"/>
      <c r="K313" s="740">
        <v>0.39114041879711892</v>
      </c>
      <c r="L313" s="789"/>
    </row>
    <row r="314" spans="1:14" s="16" customFormat="1" ht="15.6" customHeight="1">
      <c r="A314" s="1548" t="s">
        <v>25</v>
      </c>
      <c r="B314" s="1550"/>
      <c r="C314" s="1550"/>
      <c r="D314" s="1550"/>
      <c r="E314" s="1550"/>
      <c r="F314" s="1550"/>
      <c r="G314" s="1550"/>
      <c r="H314" s="1550"/>
      <c r="I314" s="653" t="s">
        <v>26</v>
      </c>
      <c r="J314" s="738">
        <f>J311*K314</f>
        <v>7055.5099999999984</v>
      </c>
      <c r="K314" s="740">
        <v>5.4684592305647338E-2</v>
      </c>
      <c r="L314" s="789"/>
      <c r="N314" s="800"/>
    </row>
    <row r="315" spans="1:14" s="16" customFormat="1" ht="15.6" customHeight="1">
      <c r="A315" s="1526" t="s">
        <v>434</v>
      </c>
      <c r="B315" s="1317"/>
      <c r="C315" s="1317"/>
      <c r="D315" s="1317"/>
      <c r="E315" s="1317"/>
      <c r="F315" s="1317"/>
      <c r="G315" s="1317"/>
      <c r="H315" s="1318"/>
      <c r="I315" s="653"/>
      <c r="J315" s="739">
        <f>J311*K315</f>
        <v>71500.709999999992</v>
      </c>
      <c r="K315" s="740">
        <v>0.55417498889723382</v>
      </c>
      <c r="L315" s="789" t="s">
        <v>524</v>
      </c>
    </row>
    <row r="316" spans="1:14" s="16" customFormat="1" ht="31.9" customHeight="1" thickBot="1">
      <c r="A316" s="1458" t="s">
        <v>435</v>
      </c>
      <c r="B316" s="1459"/>
      <c r="C316" s="1459"/>
      <c r="D316" s="1634" t="s">
        <v>431</v>
      </c>
      <c r="E316" s="1635"/>
      <c r="F316" s="1635"/>
      <c r="G316" s="1635"/>
      <c r="H316" s="1635"/>
      <c r="I316" s="1635"/>
      <c r="J316" s="1635"/>
      <c r="K316" s="737">
        <f>I313+J314+J315</f>
        <v>129021.89999999998</v>
      </c>
      <c r="L316" s="792"/>
    </row>
    <row r="317" spans="1:14" s="16" customFormat="1" ht="14.45" customHeight="1" thickTop="1" thickBot="1">
      <c r="A317" s="489"/>
      <c r="B317" s="489"/>
      <c r="C317" s="489"/>
      <c r="D317" s="489"/>
      <c r="E317" s="489"/>
      <c r="F317" s="489"/>
      <c r="G317" s="490"/>
      <c r="H317" s="347"/>
      <c r="I317" s="627"/>
      <c r="J317" s="346"/>
      <c r="K317" s="605"/>
      <c r="L317" s="789"/>
      <c r="N317" s="859">
        <f>J310+J311</f>
        <v>439578.21999999991</v>
      </c>
    </row>
    <row r="318" spans="1:14" s="16" customFormat="1" ht="16.899999999999999" customHeight="1" thickTop="1">
      <c r="A318" s="1636" t="s">
        <v>29</v>
      </c>
      <c r="B318" s="1637"/>
      <c r="C318" s="1637"/>
      <c r="D318" s="1637"/>
      <c r="E318" s="1637"/>
      <c r="F318" s="1637"/>
      <c r="G318" s="1637"/>
      <c r="H318" s="1637"/>
      <c r="I318" s="1637"/>
      <c r="J318" s="1638"/>
      <c r="K318" s="681"/>
      <c r="L318" s="789"/>
    </row>
    <row r="319" spans="1:14" s="16" customFormat="1" ht="16.149999999999999" customHeight="1">
      <c r="A319" s="1528" t="s">
        <v>515</v>
      </c>
      <c r="B319" s="1294"/>
      <c r="C319" s="1294"/>
      <c r="D319" s="1294"/>
      <c r="E319" s="1294"/>
      <c r="F319" s="1294"/>
      <c r="G319" s="1294"/>
      <c r="H319" s="1294"/>
      <c r="I319" s="1294"/>
      <c r="J319" s="1289"/>
      <c r="K319" s="714"/>
      <c r="L319" s="789"/>
    </row>
    <row r="320" spans="1:14" s="16" customFormat="1" ht="13.5" customHeight="1">
      <c r="A320" s="1476" t="s">
        <v>204</v>
      </c>
      <c r="B320" s="1534" t="s">
        <v>203</v>
      </c>
      <c r="C320" s="1535"/>
      <c r="D320" s="1535"/>
      <c r="E320" s="1535"/>
      <c r="F320" s="1532" t="s">
        <v>202</v>
      </c>
      <c r="G320" s="1639" t="s">
        <v>198</v>
      </c>
      <c r="H320" s="1640"/>
      <c r="I320" s="109"/>
      <c r="J320" s="1639" t="s">
        <v>199</v>
      </c>
      <c r="K320" s="684"/>
      <c r="L320" s="789"/>
    </row>
    <row r="321" spans="1:15" s="17" customFormat="1" ht="39.6" customHeight="1">
      <c r="A321" s="1477"/>
      <c r="B321" s="1537"/>
      <c r="C321" s="1538"/>
      <c r="D321" s="1538"/>
      <c r="E321" s="1538"/>
      <c r="F321" s="1533"/>
      <c r="G321" s="248" t="s">
        <v>200</v>
      </c>
      <c r="H321" s="521" t="s">
        <v>201</v>
      </c>
      <c r="I321" s="654" t="s">
        <v>436</v>
      </c>
      <c r="J321" s="1639"/>
      <c r="K321" s="684"/>
      <c r="L321" s="789"/>
      <c r="N321" s="16"/>
    </row>
    <row r="322" spans="1:15" s="17" customFormat="1" ht="13.9" customHeight="1">
      <c r="A322" s="1526" t="s">
        <v>205</v>
      </c>
      <c r="B322" s="1317"/>
      <c r="C322" s="1317"/>
      <c r="D322" s="1317"/>
      <c r="E322" s="1317"/>
      <c r="F322" s="1317"/>
      <c r="G322" s="1317"/>
      <c r="H322" s="1317"/>
      <c r="I322" s="1317"/>
      <c r="J322" s="1317"/>
      <c r="K322" s="684"/>
      <c r="L322" s="796" t="s">
        <v>314</v>
      </c>
    </row>
    <row r="323" spans="1:15" s="17" customFormat="1" ht="25.15" customHeight="1">
      <c r="A323" s="468">
        <v>1</v>
      </c>
      <c r="B323" s="1444" t="s">
        <v>36</v>
      </c>
      <c r="C323" s="1445"/>
      <c r="D323" s="1445"/>
      <c r="E323" s="1445"/>
      <c r="F323" s="580"/>
      <c r="G323" s="268">
        <f>ROUND(N323*K313,2)+M323</f>
        <v>7518.2699999999995</v>
      </c>
      <c r="H323" s="269">
        <f>ROUND(N323*$K$314,2)</f>
        <v>631.47</v>
      </c>
      <c r="I323" s="579">
        <f>N323*K315</f>
        <v>6399.3246007910293</v>
      </c>
      <c r="J323" s="709">
        <f>ROUND(SUM(G323:I323),2)</f>
        <v>14549.06</v>
      </c>
      <c r="K323" s="730" t="s">
        <v>541</v>
      </c>
      <c r="L323" s="796">
        <f>SUM(J144)</f>
        <v>14549.06</v>
      </c>
      <c r="M323" s="801">
        <f>L145</f>
        <v>3001.58</v>
      </c>
      <c r="N323" s="801">
        <f>L323-M323</f>
        <v>11547.48</v>
      </c>
    </row>
    <row r="324" spans="1:15" s="17" customFormat="1" ht="15" customHeight="1">
      <c r="A324" s="468">
        <v>2</v>
      </c>
      <c r="B324" s="1437" t="s">
        <v>42</v>
      </c>
      <c r="C324" s="1438"/>
      <c r="D324" s="1438"/>
      <c r="E324" s="1438"/>
      <c r="F324" s="581"/>
      <c r="G324" s="268">
        <f>L324-1.39</f>
        <v>59298.12</v>
      </c>
      <c r="H324" s="269">
        <v>0</v>
      </c>
      <c r="I324" s="579">
        <v>0</v>
      </c>
      <c r="J324" s="709">
        <f t="shared" ref="J324:J347" si="21">ROUND(SUM(G324:I324),2)</f>
        <v>59298.12</v>
      </c>
      <c r="K324" s="715"/>
      <c r="L324" s="796">
        <f>SUM(J151)</f>
        <v>59299.51</v>
      </c>
      <c r="M324" s="801"/>
    </row>
    <row r="325" spans="1:15" s="17" customFormat="1" ht="15" customHeight="1">
      <c r="A325" s="468">
        <v>3</v>
      </c>
      <c r="B325" s="1437" t="s">
        <v>53</v>
      </c>
      <c r="C325" s="1438"/>
      <c r="D325" s="1438"/>
      <c r="E325" s="1438"/>
      <c r="F325" s="581"/>
      <c r="G325" s="268">
        <f>J158</f>
        <v>3159.05</v>
      </c>
      <c r="H325" s="269">
        <v>0</v>
      </c>
      <c r="I325" s="579">
        <v>0</v>
      </c>
      <c r="J325" s="709">
        <f t="shared" si="21"/>
        <v>3159.05</v>
      </c>
      <c r="K325" s="715"/>
      <c r="L325" s="796">
        <f>SUM(J157)</f>
        <v>3159.05</v>
      </c>
      <c r="M325" s="801"/>
      <c r="O325" s="129"/>
    </row>
    <row r="326" spans="1:15" s="17" customFormat="1" ht="15" customHeight="1">
      <c r="A326" s="468">
        <v>4</v>
      </c>
      <c r="B326" s="1437" t="s">
        <v>206</v>
      </c>
      <c r="C326" s="1438"/>
      <c r="D326" s="1438"/>
      <c r="E326" s="1438"/>
      <c r="F326" s="581"/>
      <c r="G326" s="268">
        <f>ROUND(N326*K313,2)+M326</f>
        <v>43319.82</v>
      </c>
      <c r="H326" s="269">
        <f>ROUND(N326*$K$314,2)</f>
        <v>530.29</v>
      </c>
      <c r="I326" s="579">
        <f>N326*K315</f>
        <v>5373.934618834478</v>
      </c>
      <c r="J326" s="709">
        <f t="shared" si="21"/>
        <v>49224.04</v>
      </c>
      <c r="K326" s="715"/>
      <c r="L326" s="796">
        <f>SUM(J160)</f>
        <v>49224.04</v>
      </c>
      <c r="M326" s="801">
        <f>SUM(J161:J165)</f>
        <v>39526.86</v>
      </c>
      <c r="N326" s="801">
        <f>L326-M326</f>
        <v>9697.18</v>
      </c>
      <c r="O326" s="129"/>
    </row>
    <row r="327" spans="1:15" s="17" customFormat="1" ht="15" customHeight="1">
      <c r="A327" s="468">
        <v>5</v>
      </c>
      <c r="B327" s="1437" t="s">
        <v>78</v>
      </c>
      <c r="C327" s="1438"/>
      <c r="D327" s="1438"/>
      <c r="E327" s="1438"/>
      <c r="F327" s="581"/>
      <c r="G327" s="268">
        <f>N327*K313+M327</f>
        <v>59165.918330593369</v>
      </c>
      <c r="H327" s="269">
        <f>ROUND(N327*$K$314,2)-0.01</f>
        <v>1731.53</v>
      </c>
      <c r="I327" s="579">
        <f>N327*K315-0.06</f>
        <v>17547.362506743997</v>
      </c>
      <c r="J327" s="709">
        <f>ROUND(SUM(G327:I327),2)</f>
        <v>78444.81</v>
      </c>
      <c r="K327" s="715"/>
      <c r="L327" s="796">
        <f>SUM(J168)</f>
        <v>78444.876300000004</v>
      </c>
      <c r="M327" s="801">
        <f>SUM(L169:L177)</f>
        <v>46780.83</v>
      </c>
      <c r="N327" s="801">
        <f>L327-M327</f>
        <v>31664.046300000002</v>
      </c>
    </row>
    <row r="328" spans="1:15" s="17" customFormat="1" ht="15" customHeight="1">
      <c r="A328" s="468">
        <v>6</v>
      </c>
      <c r="B328" s="1437" t="s">
        <v>82</v>
      </c>
      <c r="C328" s="1438"/>
      <c r="D328" s="1438"/>
      <c r="E328" s="1438"/>
      <c r="F328" s="581"/>
      <c r="G328" s="268">
        <f>ROUND(L328*K313,2)</f>
        <v>3598.49</v>
      </c>
      <c r="H328" s="269">
        <f t="shared" ref="H328" si="22">ROUND(L328*$K$314,2)</f>
        <v>503.1</v>
      </c>
      <c r="I328" s="579">
        <f>L328*K315</f>
        <v>5098.4098978545508</v>
      </c>
      <c r="J328" s="709">
        <f t="shared" si="21"/>
        <v>9200</v>
      </c>
      <c r="K328" s="715"/>
      <c r="L328" s="796">
        <f>SUM(J181)</f>
        <v>9200</v>
      </c>
      <c r="M328" s="801"/>
    </row>
    <row r="329" spans="1:15" s="17" customFormat="1" ht="12" customHeight="1">
      <c r="A329" s="470"/>
      <c r="B329" s="821"/>
      <c r="C329" s="821"/>
      <c r="D329" s="821"/>
      <c r="E329" s="821"/>
      <c r="F329" s="821"/>
      <c r="G329" s="268"/>
      <c r="H329" s="269"/>
      <c r="I329" s="579"/>
      <c r="J329" s="709"/>
      <c r="K329" s="715"/>
      <c r="L329" s="789"/>
    </row>
    <row r="330" spans="1:15" s="17" customFormat="1" ht="13.9" customHeight="1">
      <c r="A330" s="586" t="s">
        <v>210</v>
      </c>
      <c r="B330" s="587"/>
      <c r="C330" s="587"/>
      <c r="D330" s="587"/>
      <c r="E330" s="587"/>
      <c r="F330" s="587"/>
      <c r="G330" s="622"/>
      <c r="H330" s="623"/>
      <c r="I330" s="624"/>
      <c r="J330" s="710"/>
      <c r="K330" s="715"/>
      <c r="L330" s="789"/>
    </row>
    <row r="331" spans="1:15" s="17" customFormat="1" ht="15" customHeight="1">
      <c r="A331" s="472">
        <v>1</v>
      </c>
      <c r="B331" s="1444" t="s">
        <v>36</v>
      </c>
      <c r="C331" s="1445"/>
      <c r="D331" s="1445"/>
      <c r="E331" s="1445"/>
      <c r="F331" s="580"/>
      <c r="G331" s="268">
        <f>J188</f>
        <v>186.32</v>
      </c>
      <c r="H331" s="269">
        <v>0</v>
      </c>
      <c r="I331" s="579">
        <v>0</v>
      </c>
      <c r="J331" s="709">
        <f>ROUND(SUM(G331:I331),2)</f>
        <v>186.32</v>
      </c>
      <c r="K331" s="715"/>
      <c r="L331" s="796">
        <f>SUM(J187)</f>
        <v>186.32</v>
      </c>
      <c r="M331" s="801"/>
    </row>
    <row r="332" spans="1:15" s="17" customFormat="1" ht="15" customHeight="1">
      <c r="A332" s="472">
        <v>2</v>
      </c>
      <c r="B332" s="1437" t="s">
        <v>42</v>
      </c>
      <c r="C332" s="1438"/>
      <c r="D332" s="1438"/>
      <c r="E332" s="1438"/>
      <c r="F332" s="581"/>
      <c r="G332" s="268">
        <f>SUM(J191:J196)</f>
        <v>2360.84</v>
      </c>
      <c r="H332" s="269">
        <v>0</v>
      </c>
      <c r="I332" s="579">
        <v>0</v>
      </c>
      <c r="J332" s="709">
        <f t="shared" si="21"/>
        <v>2360.84</v>
      </c>
      <c r="K332" s="715"/>
      <c r="L332" s="796">
        <f>SUM(J190)</f>
        <v>2360.84</v>
      </c>
      <c r="M332" s="801"/>
    </row>
    <row r="333" spans="1:15" s="17" customFormat="1" ht="15" customHeight="1">
      <c r="A333" s="472">
        <v>3</v>
      </c>
      <c r="B333" s="1437" t="s">
        <v>207</v>
      </c>
      <c r="C333" s="1438"/>
      <c r="D333" s="1438"/>
      <c r="E333" s="1438"/>
      <c r="F333" s="581"/>
      <c r="G333" s="268">
        <f>N333*K313+M333</f>
        <v>2830.1681709957766</v>
      </c>
      <c r="H333" s="269">
        <f>ROUND(N333*$K$314,2)</f>
        <v>316.36</v>
      </c>
      <c r="I333" s="579">
        <f>N333*K315</f>
        <v>3205.9743535190541</v>
      </c>
      <c r="J333" s="709">
        <f t="shared" si="21"/>
        <v>6352.5</v>
      </c>
      <c r="K333" s="715"/>
      <c r="L333" s="796">
        <f>SUM(J199)</f>
        <v>6352.5</v>
      </c>
      <c r="M333" s="801">
        <f>SUM(L200:L202)</f>
        <v>567.37</v>
      </c>
      <c r="N333" s="801">
        <f>L333-M333</f>
        <v>5785.13</v>
      </c>
    </row>
    <row r="334" spans="1:15" s="17" customFormat="1" ht="15" customHeight="1">
      <c r="A334" s="472">
        <v>4</v>
      </c>
      <c r="B334" s="1444" t="s">
        <v>98</v>
      </c>
      <c r="C334" s="1445"/>
      <c r="D334" s="1445"/>
      <c r="E334" s="1445"/>
      <c r="F334" s="580"/>
      <c r="G334" s="268">
        <f>SUM(J207:J209)</f>
        <v>6543.24</v>
      </c>
      <c r="H334" s="269">
        <v>0</v>
      </c>
      <c r="I334" s="579">
        <v>0</v>
      </c>
      <c r="J334" s="709">
        <f t="shared" si="21"/>
        <v>6543.24</v>
      </c>
      <c r="K334" s="715"/>
      <c r="L334" s="796">
        <f>SUM(J206)</f>
        <v>6543.24</v>
      </c>
      <c r="M334" s="801"/>
    </row>
    <row r="335" spans="1:15" s="17" customFormat="1" ht="15" customHeight="1">
      <c r="A335" s="472">
        <v>5</v>
      </c>
      <c r="B335" s="1437" t="s">
        <v>100</v>
      </c>
      <c r="C335" s="1438"/>
      <c r="D335" s="1438"/>
      <c r="E335" s="1438"/>
      <c r="F335" s="581"/>
      <c r="G335" s="268">
        <f>J212</f>
        <v>2012.28</v>
      </c>
      <c r="H335" s="269">
        <v>0</v>
      </c>
      <c r="I335" s="579">
        <v>0</v>
      </c>
      <c r="J335" s="709">
        <f t="shared" si="21"/>
        <v>2012.28</v>
      </c>
      <c r="K335" s="715"/>
      <c r="L335" s="796">
        <f>SUM(J211)</f>
        <v>2012.28</v>
      </c>
      <c r="M335" s="801"/>
    </row>
    <row r="336" spans="1:15" s="17" customFormat="1" ht="15" customHeight="1">
      <c r="A336" s="472">
        <v>6</v>
      </c>
      <c r="B336" s="1437" t="s">
        <v>102</v>
      </c>
      <c r="C336" s="1438"/>
      <c r="D336" s="1438"/>
      <c r="E336" s="1438"/>
      <c r="F336" s="581"/>
      <c r="G336" s="268">
        <f>SUM(J215:J217)</f>
        <v>4477.58</v>
      </c>
      <c r="H336" s="269">
        <v>0</v>
      </c>
      <c r="I336" s="579">
        <v>0</v>
      </c>
      <c r="J336" s="709">
        <f t="shared" si="21"/>
        <v>4477.58</v>
      </c>
      <c r="K336" s="715"/>
      <c r="L336" s="796">
        <f>SUM(J214)</f>
        <v>4477.58</v>
      </c>
      <c r="M336" s="801"/>
    </row>
    <row r="337" spans="1:16" s="17" customFormat="1" ht="15" customHeight="1">
      <c r="A337" s="472">
        <v>7</v>
      </c>
      <c r="B337" s="1437" t="s">
        <v>208</v>
      </c>
      <c r="C337" s="1438"/>
      <c r="D337" s="1438"/>
      <c r="E337" s="1438"/>
      <c r="F337" s="581"/>
      <c r="G337" s="268">
        <f>SUM(J220:J224)</f>
        <v>5231.8900000000003</v>
      </c>
      <c r="H337" s="269">
        <v>0</v>
      </c>
      <c r="I337" s="579">
        <v>0</v>
      </c>
      <c r="J337" s="709">
        <f t="shared" si="21"/>
        <v>5231.8900000000003</v>
      </c>
      <c r="K337" s="715"/>
      <c r="L337" s="796">
        <f>SUM(J219)</f>
        <v>5231.8900000000003</v>
      </c>
      <c r="M337" s="801"/>
    </row>
    <row r="338" spans="1:16" s="17" customFormat="1" ht="15" customHeight="1">
      <c r="A338" s="472">
        <v>8</v>
      </c>
      <c r="B338" s="1437" t="s">
        <v>116</v>
      </c>
      <c r="C338" s="1438"/>
      <c r="D338" s="1438"/>
      <c r="E338" s="1438"/>
      <c r="F338" s="581"/>
      <c r="G338" s="268">
        <f>N338*K313+M338</f>
        <v>3396.2215202891907</v>
      </c>
      <c r="H338" s="269">
        <f>ROUND(N338*$K$314,2)</f>
        <v>303.77999999999997</v>
      </c>
      <c r="I338" s="579">
        <f>N338*K315</f>
        <v>3078.5362730722459</v>
      </c>
      <c r="J338" s="709">
        <f t="shared" si="21"/>
        <v>6778.54</v>
      </c>
      <c r="K338" s="715"/>
      <c r="L338" s="796">
        <f>SUM(J226)</f>
        <v>6778.5399999999991</v>
      </c>
      <c r="M338" s="801">
        <f>SUM(L227:L232)</f>
        <v>1223.3699999999999</v>
      </c>
      <c r="N338" s="801">
        <f>L338-M338</f>
        <v>5555.1699999999992</v>
      </c>
    </row>
    <row r="339" spans="1:16" s="17" customFormat="1" ht="15" customHeight="1">
      <c r="A339" s="472">
        <v>9</v>
      </c>
      <c r="B339" s="1437" t="s">
        <v>209</v>
      </c>
      <c r="C339" s="1438"/>
      <c r="D339" s="1438"/>
      <c r="E339" s="1438"/>
      <c r="F339" s="581"/>
      <c r="G339" s="268">
        <f>N339*K313+M339</f>
        <v>6855.8739843080903</v>
      </c>
      <c r="H339" s="269">
        <f>ROUND(N339*$K$314,2)</f>
        <v>393.46</v>
      </c>
      <c r="I339" s="579">
        <f>N339*K315</f>
        <v>3987.3721713639311</v>
      </c>
      <c r="J339" s="709">
        <f t="shared" si="21"/>
        <v>11236.71</v>
      </c>
      <c r="K339" s="715"/>
      <c r="L339" s="796">
        <f>SUM(J243)</f>
        <v>11236.71</v>
      </c>
      <c r="M339" s="801">
        <f>SUM(L244:L256)</f>
        <v>4041.5600000000004</v>
      </c>
      <c r="N339" s="801">
        <f>L339-M339</f>
        <v>7195.1499999999987</v>
      </c>
    </row>
    <row r="340" spans="1:16" s="17" customFormat="1" ht="15" customHeight="1">
      <c r="A340" s="472">
        <v>10</v>
      </c>
      <c r="B340" s="1437" t="s">
        <v>190</v>
      </c>
      <c r="C340" s="1438"/>
      <c r="D340" s="1438"/>
      <c r="E340" s="1438"/>
      <c r="F340" s="581"/>
      <c r="G340" s="268">
        <f t="shared" ref="G340" si="23">ROUND(L340*$K$313,2)</f>
        <v>929.54</v>
      </c>
      <c r="H340" s="269">
        <f t="shared" ref="H340" si="24">ROUND(L340*$K$314,2)</f>
        <v>129.96</v>
      </c>
      <c r="I340" s="579">
        <f>L340*K315</f>
        <v>1316.991319364387</v>
      </c>
      <c r="J340" s="709">
        <f t="shared" si="21"/>
        <v>2376.4899999999998</v>
      </c>
      <c r="K340" s="715"/>
      <c r="L340" s="796">
        <f>SUM(J266)</f>
        <v>2376.4899999999998</v>
      </c>
      <c r="M340" s="801"/>
    </row>
    <row r="341" spans="1:16" s="17" customFormat="1" ht="15" customHeight="1">
      <c r="A341" s="472">
        <v>11</v>
      </c>
      <c r="B341" s="1437" t="s">
        <v>195</v>
      </c>
      <c r="C341" s="1438"/>
      <c r="D341" s="1438"/>
      <c r="E341" s="1438"/>
      <c r="F341" s="581"/>
      <c r="G341" s="268">
        <f>ROUND(N341*$K$313,2)+M341</f>
        <v>8609.5400000000009</v>
      </c>
      <c r="H341" s="269">
        <f>ROUND(N341*$K$314,2)</f>
        <v>767.01</v>
      </c>
      <c r="I341" s="579">
        <f>N341*K315</f>
        <v>7772.8694777723804</v>
      </c>
      <c r="J341" s="709">
        <f t="shared" si="21"/>
        <v>17149.419999999998</v>
      </c>
      <c r="K341" s="715"/>
      <c r="L341" s="796">
        <f>SUM(J270)-0.01</f>
        <v>17149.420000000002</v>
      </c>
      <c r="M341" s="801">
        <f>SUM(L275:L276)</f>
        <v>3123.4</v>
      </c>
      <c r="N341" s="801">
        <f>L341-M341</f>
        <v>14026.020000000002</v>
      </c>
    </row>
    <row r="342" spans="1:16" s="17" customFormat="1" ht="15" customHeight="1">
      <c r="A342" s="474"/>
      <c r="B342" s="821"/>
      <c r="C342" s="821"/>
      <c r="D342" s="821"/>
      <c r="E342" s="821"/>
      <c r="F342" s="821"/>
      <c r="G342" s="268"/>
      <c r="H342" s="269"/>
      <c r="I342" s="579"/>
      <c r="J342" s="709"/>
      <c r="K342" s="715"/>
      <c r="L342" s="789"/>
      <c r="M342" s="129"/>
    </row>
    <row r="343" spans="1:16" s="17" customFormat="1" ht="15" customHeight="1">
      <c r="A343" s="586" t="s">
        <v>464</v>
      </c>
      <c r="B343" s="587"/>
      <c r="C343" s="587"/>
      <c r="D343" s="587"/>
      <c r="E343" s="587"/>
      <c r="F343" s="587"/>
      <c r="G343" s="622"/>
      <c r="H343" s="623"/>
      <c r="I343" s="624"/>
      <c r="J343" s="710"/>
      <c r="K343" s="715"/>
      <c r="L343" s="792"/>
    </row>
    <row r="344" spans="1:16" s="17" customFormat="1" ht="15" customHeight="1">
      <c r="A344" s="472">
        <v>1</v>
      </c>
      <c r="B344" s="1437" t="s">
        <v>91</v>
      </c>
      <c r="C344" s="1438"/>
      <c r="D344" s="1438"/>
      <c r="E344" s="1438"/>
      <c r="F344" s="581"/>
      <c r="G344" s="268">
        <f>(L344*K313)</f>
        <v>2913.4563462605956</v>
      </c>
      <c r="H344" s="269">
        <f t="shared" ref="H344:H347" si="25">ROUND(L344*$K$314,2)</f>
        <v>407.32</v>
      </c>
      <c r="I344" s="579">
        <f t="shared" ref="I344:I347" si="26">ROUND(L344-H344-G344,2)</f>
        <v>4127.84</v>
      </c>
      <c r="J344" s="709">
        <f t="shared" si="21"/>
        <v>7448.62</v>
      </c>
      <c r="K344" s="715"/>
      <c r="L344" s="797">
        <f>SUM(J285)</f>
        <v>7448.62</v>
      </c>
    </row>
    <row r="345" spans="1:16" s="17" customFormat="1" ht="15" customHeight="1">
      <c r="A345" s="569">
        <v>2</v>
      </c>
      <c r="B345" s="1437" t="s">
        <v>351</v>
      </c>
      <c r="C345" s="1438"/>
      <c r="D345" s="1438"/>
      <c r="E345" s="1438"/>
      <c r="F345" s="581"/>
      <c r="G345" s="268">
        <f>(L345*K313)</f>
        <v>5216.6788795390548</v>
      </c>
      <c r="H345" s="269">
        <f t="shared" si="25"/>
        <v>729.33</v>
      </c>
      <c r="I345" s="579">
        <f t="shared" si="26"/>
        <v>7391.09</v>
      </c>
      <c r="J345" s="709">
        <f t="shared" si="21"/>
        <v>13337.1</v>
      </c>
      <c r="K345" s="715"/>
      <c r="L345" s="797">
        <f>SUM(J292)</f>
        <v>13337.1</v>
      </c>
    </row>
    <row r="346" spans="1:16" s="17" customFormat="1" ht="15" customHeight="1">
      <c r="A346" s="472">
        <v>3</v>
      </c>
      <c r="B346" s="1437" t="s">
        <v>208</v>
      </c>
      <c r="C346" s="1438"/>
      <c r="D346" s="1438"/>
      <c r="E346" s="1438"/>
      <c r="F346" s="581"/>
      <c r="G346" s="268">
        <f>(L346*K313)</f>
        <v>2165.0248005090607</v>
      </c>
      <c r="H346" s="269">
        <f t="shared" si="25"/>
        <v>302.69</v>
      </c>
      <c r="I346" s="579">
        <f t="shared" si="26"/>
        <v>3067.45</v>
      </c>
      <c r="J346" s="709">
        <f t="shared" si="21"/>
        <v>5535.16</v>
      </c>
      <c r="K346" s="715"/>
      <c r="L346" s="797">
        <f>SUM(J300)</f>
        <v>5535.16</v>
      </c>
      <c r="N346" s="275"/>
    </row>
    <row r="347" spans="1:16" s="17" customFormat="1" ht="15" customHeight="1">
      <c r="A347" s="472">
        <v>4</v>
      </c>
      <c r="B347" s="1437" t="s">
        <v>350</v>
      </c>
      <c r="C347" s="1438"/>
      <c r="D347" s="1438"/>
      <c r="E347" s="1438"/>
      <c r="F347" s="581"/>
      <c r="G347" s="268">
        <f>(L347*K313)</f>
        <v>2211.6800296631809</v>
      </c>
      <c r="H347" s="269">
        <f t="shared" si="25"/>
        <v>309.20999999999998</v>
      </c>
      <c r="I347" s="579">
        <f t="shared" si="26"/>
        <v>3133.55</v>
      </c>
      <c r="J347" s="709">
        <f t="shared" si="21"/>
        <v>5654.44</v>
      </c>
      <c r="K347" s="715"/>
      <c r="L347" s="797">
        <f>SUM(J305)</f>
        <v>5654.44</v>
      </c>
    </row>
    <row r="348" spans="1:16" s="17" customFormat="1" ht="15" customHeight="1">
      <c r="A348" s="474"/>
      <c r="B348" s="821"/>
      <c r="C348" s="821"/>
      <c r="D348" s="821"/>
      <c r="E348" s="821"/>
      <c r="F348" s="821"/>
      <c r="G348" s="825"/>
      <c r="H348" s="273"/>
      <c r="I348" s="273"/>
      <c r="J348" s="711"/>
      <c r="K348" s="715"/>
      <c r="L348" s="789"/>
      <c r="M348" s="129"/>
      <c r="N348" s="129"/>
    </row>
    <row r="349" spans="1:16" s="17" customFormat="1" ht="15" customHeight="1">
      <c r="A349" s="1630" t="s">
        <v>21</v>
      </c>
      <c r="B349" s="1631"/>
      <c r="C349" s="1631"/>
      <c r="D349" s="1631"/>
      <c r="E349" s="1631"/>
      <c r="F349" s="1631"/>
      <c r="G349" s="600">
        <f>SUM(G323:G348)</f>
        <v>232000.00206215834</v>
      </c>
      <c r="H349" s="599">
        <f>SUM(H323:H348)</f>
        <v>7055.5099999999993</v>
      </c>
      <c r="I349" s="599">
        <f>SUM(I323:I347)</f>
        <v>71500.705219316049</v>
      </c>
      <c r="J349" s="712">
        <f>SUM(G349:I349)</f>
        <v>310556.21728147438</v>
      </c>
      <c r="K349" s="716"/>
      <c r="L349" s="796">
        <f>SUM(L323:L347)</f>
        <v>310557.66629999992</v>
      </c>
      <c r="M349" s="16"/>
      <c r="N349" s="129"/>
      <c r="O349" s="16"/>
      <c r="P349" s="16"/>
    </row>
    <row r="350" spans="1:16" s="16" customFormat="1" ht="17.45" customHeight="1">
      <c r="A350" s="1632" t="s">
        <v>30</v>
      </c>
      <c r="B350" s="1633"/>
      <c r="C350" s="1633"/>
      <c r="D350" s="1633"/>
      <c r="E350" s="1633"/>
      <c r="F350" s="1633"/>
      <c r="G350" s="601">
        <f>G349/J349</f>
        <v>0.74704671538384892</v>
      </c>
      <c r="H350" s="601">
        <f>H349/J349</f>
        <v>2.2718946224171702E-2</v>
      </c>
      <c r="I350" s="601">
        <f>I349/J349</f>
        <v>0.23023433839197938</v>
      </c>
      <c r="J350" s="713">
        <f>SUM(G350:I350)</f>
        <v>1</v>
      </c>
      <c r="K350" s="717"/>
      <c r="L350" s="789"/>
      <c r="M350" s="17"/>
    </row>
    <row r="351" spans="1:16" s="16" customFormat="1" ht="15" customHeight="1">
      <c r="A351" s="476"/>
      <c r="B351" s="280"/>
      <c r="C351" s="280"/>
      <c r="D351" s="280"/>
      <c r="E351" s="280"/>
      <c r="F351" s="280"/>
      <c r="G351" s="871"/>
      <c r="H351" s="872"/>
      <c r="I351" s="872"/>
      <c r="J351" s="871"/>
      <c r="K351" s="717"/>
      <c r="L351" s="789"/>
      <c r="M351" s="129"/>
      <c r="N351" s="171"/>
    </row>
    <row r="352" spans="1:16" s="17" customFormat="1" ht="19.149999999999999" customHeight="1">
      <c r="A352" s="1628" t="s">
        <v>31</v>
      </c>
      <c r="B352" s="1629"/>
      <c r="C352" s="1629"/>
      <c r="D352" s="1629"/>
      <c r="E352" s="1629"/>
      <c r="F352" s="1629"/>
      <c r="G352" s="1629"/>
      <c r="H352" s="1629"/>
      <c r="I352" s="1629"/>
      <c r="J352" s="1629"/>
      <c r="K352" s="681"/>
      <c r="L352" s="789"/>
      <c r="N352" s="171"/>
    </row>
    <row r="353" spans="1:16" s="17" customFormat="1" ht="16.899999999999999" customHeight="1">
      <c r="A353" s="1381" t="s">
        <v>32</v>
      </c>
      <c r="B353" s="1326"/>
      <c r="C353" s="1326"/>
      <c r="D353" s="1326"/>
      <c r="E353" s="1326"/>
      <c r="F353" s="1294" t="s">
        <v>211</v>
      </c>
      <c r="G353" s="1294"/>
      <c r="H353" s="1294"/>
      <c r="I353" s="1294"/>
      <c r="J353" s="1289"/>
      <c r="K353" s="714"/>
      <c r="L353" s="789"/>
    </row>
    <row r="354" spans="1:16" s="17" customFormat="1" ht="16.149999999999999" customHeight="1">
      <c r="A354" s="1548" t="s">
        <v>545</v>
      </c>
      <c r="B354" s="1550"/>
      <c r="C354" s="1550"/>
      <c r="D354" s="1550"/>
      <c r="E354" s="1550"/>
      <c r="F354" s="1620">
        <v>232000</v>
      </c>
      <c r="G354" s="1550"/>
      <c r="H354" s="1550"/>
      <c r="I354" s="1550"/>
      <c r="J354" s="1316"/>
      <c r="K354" s="684"/>
      <c r="L354" s="789"/>
    </row>
    <row r="355" spans="1:16" s="17" customFormat="1" ht="16.149999999999999" customHeight="1">
      <c r="A355" s="1526" t="s">
        <v>539</v>
      </c>
      <c r="B355" s="1317"/>
      <c r="C355" s="1317"/>
      <c r="D355" s="1317"/>
      <c r="E355" s="1318"/>
      <c r="F355" s="1625">
        <f>J311</f>
        <v>129021.89999999997</v>
      </c>
      <c r="G355" s="1626"/>
      <c r="H355" s="1626"/>
      <c r="I355" s="1626"/>
      <c r="J355" s="1627"/>
      <c r="K355" s="684"/>
      <c r="L355" s="789"/>
      <c r="M355" s="129"/>
    </row>
    <row r="356" spans="1:16" s="17" customFormat="1" ht="16.149999999999999" customHeight="1">
      <c r="A356" s="1526" t="s">
        <v>540</v>
      </c>
      <c r="B356" s="1317"/>
      <c r="C356" s="1317"/>
      <c r="D356" s="1317"/>
      <c r="E356" s="1318"/>
      <c r="F356" s="1625">
        <f>I313</f>
        <v>50465.679999999986</v>
      </c>
      <c r="G356" s="1626"/>
      <c r="H356" s="1626"/>
      <c r="I356" s="1626"/>
      <c r="J356" s="1627"/>
      <c r="K356" s="684"/>
      <c r="L356" s="789"/>
    </row>
    <row r="357" spans="1:16" s="17" customFormat="1" ht="16.149999999999999" customHeight="1">
      <c r="A357" s="1548" t="s">
        <v>25</v>
      </c>
      <c r="B357" s="1550"/>
      <c r="C357" s="1550"/>
      <c r="D357" s="1550"/>
      <c r="E357" s="1550"/>
      <c r="F357" s="1620">
        <f>SUM(J314)</f>
        <v>7055.5099999999984</v>
      </c>
      <c r="G357" s="1550"/>
      <c r="H357" s="1550"/>
      <c r="I357" s="1550"/>
      <c r="J357" s="1316"/>
      <c r="K357" s="684"/>
      <c r="L357" s="789"/>
    </row>
    <row r="358" spans="1:16" s="17" customFormat="1" ht="16.149999999999999" customHeight="1">
      <c r="A358" s="1526" t="s">
        <v>514</v>
      </c>
      <c r="B358" s="1317"/>
      <c r="C358" s="1317"/>
      <c r="D358" s="1317"/>
      <c r="E358" s="1318"/>
      <c r="F358" s="1625">
        <f>SUM(J315)</f>
        <v>71500.709999999992</v>
      </c>
      <c r="G358" s="1626"/>
      <c r="H358" s="1626"/>
      <c r="I358" s="1626"/>
      <c r="J358" s="1626"/>
      <c r="K358" s="684"/>
      <c r="L358" s="789"/>
    </row>
    <row r="359" spans="1:16" s="17" customFormat="1" ht="16.149999999999999" customHeight="1">
      <c r="A359" s="1548" t="s">
        <v>212</v>
      </c>
      <c r="B359" s="1550"/>
      <c r="C359" s="1550"/>
      <c r="D359" s="1550"/>
      <c r="E359" s="1550"/>
      <c r="F359" s="1620">
        <f>F356+F357+F358</f>
        <v>129021.89999999998</v>
      </c>
      <c r="G359" s="1550"/>
      <c r="H359" s="1550"/>
      <c r="I359" s="1550"/>
      <c r="J359" s="1316"/>
      <c r="K359" s="684"/>
      <c r="L359" s="789"/>
      <c r="M359" s="16"/>
      <c r="O359" s="16"/>
      <c r="P359" s="16"/>
    </row>
    <row r="360" spans="1:16" s="266" customFormat="1" ht="15" customHeight="1">
      <c r="A360" s="481"/>
      <c r="B360" s="261"/>
      <c r="C360" s="261"/>
      <c r="D360" s="261"/>
      <c r="E360" s="261"/>
      <c r="F360" s="480"/>
      <c r="G360" s="261"/>
      <c r="H360" s="261"/>
      <c r="I360" s="480"/>
      <c r="J360" s="261"/>
      <c r="K360" s="684"/>
      <c r="L360" s="792"/>
      <c r="M360" s="154"/>
      <c r="O360" s="154"/>
      <c r="P360" s="154"/>
    </row>
    <row r="361" spans="1:16" s="17" customFormat="1" ht="22.15" customHeight="1" thickBot="1">
      <c r="A361" s="1621" t="s">
        <v>403</v>
      </c>
      <c r="B361" s="1535"/>
      <c r="C361" s="1535"/>
      <c r="D361" s="1535"/>
      <c r="E361" s="1535"/>
      <c r="F361" s="1535"/>
      <c r="G361" s="1535"/>
      <c r="H361" s="1535"/>
      <c r="I361" s="1535"/>
      <c r="J361" s="1535"/>
      <c r="K361" s="684"/>
      <c r="L361" s="789"/>
    </row>
    <row r="362" spans="1:16" s="17" customFormat="1" ht="15" customHeight="1" thickTop="1">
      <c r="A362" s="598"/>
      <c r="B362" s="598"/>
      <c r="C362" s="598"/>
      <c r="D362" s="598"/>
      <c r="E362" s="598"/>
      <c r="F362" s="598"/>
      <c r="G362" s="598"/>
      <c r="H362" s="598"/>
      <c r="I362" s="655"/>
      <c r="J362" s="598"/>
      <c r="K362" s="585"/>
      <c r="L362" s="789"/>
    </row>
    <row r="363" spans="1:16" s="17" customFormat="1" ht="15" customHeight="1">
      <c r="A363" s="307"/>
      <c r="B363" s="307"/>
      <c r="C363" s="307"/>
      <c r="D363" s="307"/>
      <c r="E363" s="307"/>
      <c r="F363" s="307"/>
      <c r="G363" s="307"/>
      <c r="H363" s="307"/>
      <c r="I363" s="656"/>
      <c r="J363" s="307"/>
      <c r="K363" s="585"/>
      <c r="L363" s="789"/>
    </row>
    <row r="364" spans="1:16" s="17" customFormat="1" ht="13.9" customHeight="1">
      <c r="A364" s="286"/>
      <c r="B364" s="286"/>
      <c r="C364" s="286"/>
      <c r="D364" s="286"/>
      <c r="E364" s="286"/>
      <c r="F364" s="286"/>
      <c r="G364" s="175"/>
      <c r="H364" s="175"/>
      <c r="I364" s="628"/>
      <c r="J364" s="286"/>
      <c r="K364" s="605"/>
      <c r="L364" s="789"/>
    </row>
    <row r="365" spans="1:16" s="16" customFormat="1" ht="15" customHeight="1" thickBot="1">
      <c r="A365" s="401"/>
      <c r="B365" s="286"/>
      <c r="C365" s="286"/>
      <c r="D365" s="286"/>
      <c r="E365" s="286"/>
      <c r="F365" s="286"/>
      <c r="G365" s="175"/>
      <c r="H365" s="175"/>
      <c r="I365" s="628"/>
      <c r="J365" s="286"/>
      <c r="K365" s="605"/>
      <c r="L365" s="789"/>
    </row>
    <row r="366" spans="1:16" s="16" customFormat="1" ht="15" customHeight="1" thickTop="1">
      <c r="A366" s="1622" t="s">
        <v>33</v>
      </c>
      <c r="B366" s="1623"/>
      <c r="C366" s="1623"/>
      <c r="D366" s="1623"/>
      <c r="E366" s="1623"/>
      <c r="F366" s="1623"/>
      <c r="G366" s="1623"/>
      <c r="H366" s="1623"/>
      <c r="I366" s="1623"/>
      <c r="J366" s="1624"/>
      <c r="K366" s="585"/>
      <c r="L366" s="798"/>
    </row>
    <row r="367" spans="1:16" s="16" customFormat="1" ht="77.45" customHeight="1">
      <c r="A367" s="1424" t="s">
        <v>433</v>
      </c>
      <c r="B367" s="1425"/>
      <c r="C367" s="1425"/>
      <c r="D367" s="1425"/>
      <c r="E367" s="1425"/>
      <c r="F367" s="1425"/>
      <c r="G367" s="1425"/>
      <c r="H367" s="1425"/>
      <c r="I367" s="1425"/>
      <c r="J367" s="1426"/>
      <c r="K367" s="501"/>
      <c r="L367" s="789"/>
    </row>
    <row r="368" spans="1:16" s="16" customFormat="1" ht="15" customHeight="1">
      <c r="A368" s="350"/>
      <c r="B368" s="286"/>
      <c r="C368" s="286"/>
      <c r="D368" s="286"/>
      <c r="E368" s="286"/>
      <c r="F368" s="286"/>
      <c r="G368" s="175"/>
      <c r="H368" s="175"/>
      <c r="I368" s="628"/>
      <c r="J368" s="351"/>
      <c r="K368" s="605"/>
      <c r="L368" s="789"/>
    </row>
    <row r="369" spans="1:16" s="16" customFormat="1" ht="25.15" customHeight="1">
      <c r="A369" s="1548" t="s">
        <v>34</v>
      </c>
      <c r="B369" s="1550"/>
      <c r="C369" s="1550"/>
      <c r="D369" s="1550"/>
      <c r="E369" s="1550"/>
      <c r="F369" s="1550"/>
      <c r="G369" s="1550"/>
      <c r="H369" s="1550"/>
      <c r="I369" s="1550"/>
      <c r="J369" s="1619"/>
      <c r="K369" s="585"/>
      <c r="L369" s="789"/>
    </row>
    <row r="370" spans="1:16" s="16" customFormat="1" ht="15" customHeight="1">
      <c r="A370" s="1528" t="s">
        <v>377</v>
      </c>
      <c r="B370" s="1294"/>
      <c r="C370" s="1294"/>
      <c r="D370" s="1294"/>
      <c r="E370" s="1294"/>
      <c r="F370" s="1294"/>
      <c r="G370" s="1294"/>
      <c r="H370" s="1294"/>
      <c r="I370" s="1294"/>
      <c r="J370" s="1433"/>
      <c r="K370" s="501"/>
      <c r="L370" s="789"/>
      <c r="M370" s="17"/>
      <c r="O370" s="17"/>
      <c r="P370" s="17"/>
    </row>
    <row r="371" spans="1:16" s="17" customFormat="1" ht="86.45" customHeight="1">
      <c r="A371" s="1412" t="s">
        <v>466</v>
      </c>
      <c r="B371" s="1413"/>
      <c r="C371" s="1413"/>
      <c r="D371" s="1413"/>
      <c r="E371" s="1413"/>
      <c r="F371" s="1413"/>
      <c r="G371" s="1413"/>
      <c r="H371" s="1413"/>
      <c r="I371" s="1413"/>
      <c r="J371" s="1414"/>
      <c r="K371" s="502"/>
      <c r="L371" s="789"/>
      <c r="M371" s="16"/>
      <c r="O371" s="16"/>
      <c r="P371" s="16"/>
    </row>
    <row r="372" spans="1:16" s="16" customFormat="1" ht="15.6" customHeight="1">
      <c r="A372" s="350"/>
      <c r="B372" s="286"/>
      <c r="C372" s="286"/>
      <c r="D372" s="286"/>
      <c r="E372" s="286"/>
      <c r="F372" s="286"/>
      <c r="G372" s="175"/>
      <c r="H372" s="175"/>
      <c r="I372" s="628"/>
      <c r="J372" s="351"/>
      <c r="K372" s="605"/>
      <c r="L372" s="789"/>
    </row>
    <row r="373" spans="1:16" s="16" customFormat="1" ht="15" customHeight="1">
      <c r="A373" s="1548" t="s">
        <v>35</v>
      </c>
      <c r="B373" s="1550"/>
      <c r="C373" s="1550"/>
      <c r="D373" s="1550"/>
      <c r="E373" s="1550"/>
      <c r="F373" s="1550"/>
      <c r="G373" s="1550"/>
      <c r="H373" s="1550"/>
      <c r="I373" s="1550"/>
      <c r="J373" s="1619"/>
      <c r="K373" s="585"/>
      <c r="L373" s="789"/>
    </row>
    <row r="374" spans="1:16" s="16" customFormat="1" ht="15" customHeight="1">
      <c r="A374" s="1307" t="s">
        <v>534</v>
      </c>
      <c r="B374" s="1308"/>
      <c r="C374" s="1308"/>
      <c r="D374" s="1308"/>
      <c r="E374" s="1308"/>
      <c r="F374" s="1308"/>
      <c r="G374" s="1308"/>
      <c r="H374" s="1308"/>
      <c r="I374" s="1308"/>
      <c r="J374" s="1309"/>
      <c r="K374" s="501" t="s">
        <v>524</v>
      </c>
      <c r="L374" s="789"/>
    </row>
    <row r="375" spans="1:16" s="16" customFormat="1" ht="15" customHeight="1">
      <c r="A375" s="804"/>
      <c r="B375" s="805"/>
      <c r="C375" s="805"/>
      <c r="D375" s="805"/>
      <c r="E375" s="805"/>
      <c r="F375" s="805"/>
      <c r="G375" s="290"/>
      <c r="H375" s="290"/>
      <c r="I375" s="633"/>
      <c r="J375" s="806"/>
      <c r="K375" s="501"/>
      <c r="L375" s="789"/>
    </row>
    <row r="376" spans="1:16" s="16" customFormat="1" ht="15" customHeight="1">
      <c r="A376" s="804"/>
      <c r="B376" s="805"/>
      <c r="C376" s="805"/>
      <c r="D376" s="805"/>
      <c r="E376" s="805"/>
      <c r="F376" s="805"/>
      <c r="G376" s="290"/>
      <c r="H376" s="290"/>
      <c r="I376" s="633"/>
      <c r="J376" s="806"/>
      <c r="K376" s="501"/>
      <c r="L376" s="789"/>
    </row>
    <row r="377" spans="1:16" s="16" customFormat="1" ht="15" customHeight="1">
      <c r="A377" s="804"/>
      <c r="B377" s="805"/>
      <c r="C377" s="805"/>
      <c r="D377" s="805"/>
      <c r="E377" s="805"/>
      <c r="F377" s="805"/>
      <c r="G377" s="290"/>
      <c r="H377" s="290"/>
      <c r="I377" s="633"/>
      <c r="J377" s="806"/>
      <c r="K377" s="501"/>
      <c r="L377" s="789"/>
    </row>
    <row r="378" spans="1:16" s="16" customFormat="1" ht="15" customHeight="1">
      <c r="A378" s="804"/>
      <c r="B378" s="805"/>
      <c r="C378" s="805"/>
      <c r="D378" s="805"/>
      <c r="E378" s="805"/>
      <c r="F378" s="805"/>
      <c r="G378" s="290"/>
      <c r="H378" s="290"/>
      <c r="I378" s="633"/>
      <c r="J378" s="806"/>
      <c r="K378" s="501"/>
      <c r="L378" s="789"/>
    </row>
    <row r="379" spans="1:16" s="16" customFormat="1" ht="15" customHeight="1">
      <c r="A379" s="804"/>
      <c r="B379" s="805"/>
      <c r="C379" s="805"/>
      <c r="D379" s="805"/>
      <c r="E379" s="805"/>
      <c r="F379" s="805"/>
      <c r="G379" s="290"/>
      <c r="H379" s="290"/>
      <c r="I379" s="633"/>
      <c r="J379" s="806"/>
      <c r="K379" s="501"/>
      <c r="L379" s="789"/>
    </row>
    <row r="380" spans="1:16" s="16" customFormat="1" ht="15" customHeight="1">
      <c r="A380" s="804"/>
      <c r="B380" s="805"/>
      <c r="C380" s="805"/>
      <c r="D380" s="805"/>
      <c r="E380" s="805"/>
      <c r="F380" s="805"/>
      <c r="G380" s="290"/>
      <c r="H380" s="290"/>
      <c r="I380" s="633"/>
      <c r="J380" s="806"/>
      <c r="K380" s="501"/>
      <c r="L380" s="789"/>
    </row>
    <row r="381" spans="1:16" s="16" customFormat="1" ht="15" customHeight="1">
      <c r="A381" s="804"/>
      <c r="B381" s="805"/>
      <c r="C381" s="805"/>
      <c r="D381" s="805"/>
      <c r="E381" s="805"/>
      <c r="F381" s="805"/>
      <c r="G381" s="290"/>
      <c r="H381" s="290"/>
      <c r="I381" s="633"/>
      <c r="J381" s="806"/>
      <c r="K381" s="501"/>
      <c r="L381" s="799"/>
      <c r="M381" s="108"/>
      <c r="O381" s="108"/>
      <c r="P381" s="108"/>
    </row>
    <row r="382" spans="1:16" s="108" customFormat="1" ht="15" customHeight="1">
      <c r="A382" s="1297" t="s">
        <v>379</v>
      </c>
      <c r="B382" s="1298"/>
      <c r="C382" s="1298"/>
      <c r="D382" s="1298"/>
      <c r="E382" s="1298"/>
      <c r="F382" s="1299" t="s">
        <v>296</v>
      </c>
      <c r="G382" s="1299"/>
      <c r="H382" s="1299"/>
      <c r="I382" s="1299"/>
      <c r="J382" s="1300"/>
      <c r="K382" s="617"/>
      <c r="L382" s="799"/>
    </row>
    <row r="383" spans="1:16" s="108" customFormat="1" ht="15" customHeight="1">
      <c r="A383" s="1297" t="s">
        <v>535</v>
      </c>
      <c r="B383" s="1298"/>
      <c r="C383" s="1298"/>
      <c r="D383" s="1298"/>
      <c r="E383" s="1298"/>
      <c r="F383" s="1299" t="s">
        <v>536</v>
      </c>
      <c r="G383" s="1299"/>
      <c r="H383" s="1299"/>
      <c r="I383" s="1299"/>
      <c r="J383" s="1300"/>
      <c r="K383" s="617"/>
      <c r="L383" s="799"/>
    </row>
    <row r="384" spans="1:16" s="108" customFormat="1" ht="15" customHeight="1">
      <c r="A384" s="1297" t="s">
        <v>382</v>
      </c>
      <c r="B384" s="1298"/>
      <c r="C384" s="1298"/>
      <c r="D384" s="1298"/>
      <c r="E384" s="1298"/>
      <c r="F384" s="1299" t="s">
        <v>537</v>
      </c>
      <c r="G384" s="1299"/>
      <c r="H384" s="1299"/>
      <c r="I384" s="1299"/>
      <c r="J384" s="1300"/>
      <c r="K384" s="617"/>
      <c r="L384" s="789"/>
      <c r="M384" s="16"/>
      <c r="O384" s="16"/>
      <c r="P384" s="16"/>
    </row>
    <row r="385" spans="1:16" s="16" customFormat="1" ht="15" customHeight="1">
      <c r="A385" s="482"/>
      <c r="B385" s="305"/>
      <c r="C385" s="305"/>
      <c r="D385" s="305"/>
      <c r="E385" s="305"/>
      <c r="F385" s="306"/>
      <c r="G385" s="38"/>
      <c r="H385" s="38"/>
      <c r="I385" s="657"/>
      <c r="J385" s="483"/>
      <c r="K385" s="618"/>
      <c r="L385" s="789"/>
    </row>
    <row r="386" spans="1:16" s="16" customFormat="1" ht="15" customHeight="1">
      <c r="A386" s="484"/>
      <c r="B386" s="307"/>
      <c r="C386" s="307"/>
      <c r="D386" s="307"/>
      <c r="E386" s="307"/>
      <c r="F386" s="816"/>
      <c r="G386" s="175"/>
      <c r="H386" s="175"/>
      <c r="I386" s="628"/>
      <c r="J386" s="817"/>
      <c r="K386" s="503"/>
      <c r="L386" s="789"/>
    </row>
    <row r="387" spans="1:16" s="16" customFormat="1" ht="15" customHeight="1">
      <c r="A387" s="484"/>
      <c r="B387" s="307"/>
      <c r="C387" s="307"/>
      <c r="D387" s="307"/>
      <c r="E387" s="307"/>
      <c r="F387" s="816"/>
      <c r="G387" s="175"/>
      <c r="H387" s="175"/>
      <c r="I387" s="628"/>
      <c r="J387" s="817"/>
      <c r="K387" s="503"/>
      <c r="L387" s="789"/>
    </row>
    <row r="388" spans="1:16" s="16" customFormat="1" ht="15" customHeight="1" thickBot="1">
      <c r="A388" s="486"/>
      <c r="B388" s="487"/>
      <c r="C388" s="487"/>
      <c r="D388" s="487"/>
      <c r="E388" s="487"/>
      <c r="F388" s="400"/>
      <c r="G388" s="399"/>
      <c r="H388" s="399"/>
      <c r="I388" s="644"/>
      <c r="J388" s="488"/>
      <c r="K388" s="503"/>
      <c r="L388" s="786"/>
      <c r="M388"/>
      <c r="O388"/>
      <c r="P388"/>
    </row>
    <row r="389" spans="1:16" ht="15.75" thickTop="1">
      <c r="A389" s="308"/>
      <c r="B389" s="308"/>
      <c r="C389" s="308"/>
      <c r="D389" s="308"/>
      <c r="E389" s="308"/>
      <c r="F389" s="308"/>
      <c r="G389" s="251"/>
      <c r="H389" s="251"/>
      <c r="I389" s="658"/>
      <c r="J389" s="308"/>
      <c r="K389" s="619"/>
    </row>
    <row r="390" spans="1:16">
      <c r="A390" s="308"/>
      <c r="B390" s="308"/>
      <c r="C390" s="308"/>
      <c r="D390" s="308"/>
      <c r="E390" s="308"/>
      <c r="F390" s="308"/>
      <c r="G390" s="251"/>
      <c r="H390" s="251"/>
      <c r="I390" s="658"/>
      <c r="J390" s="308"/>
      <c r="K390" s="619"/>
    </row>
    <row r="391" spans="1:16">
      <c r="A391" s="308"/>
      <c r="B391" s="308"/>
      <c r="C391" s="308"/>
      <c r="D391" s="308"/>
      <c r="E391" s="308"/>
      <c r="F391" s="308"/>
      <c r="G391" s="251"/>
      <c r="H391" s="251"/>
      <c r="I391" s="658"/>
      <c r="J391" s="308"/>
      <c r="K391" s="619"/>
    </row>
    <row r="392" spans="1:16">
      <c r="A392" s="308"/>
      <c r="B392" s="308"/>
      <c r="C392" s="308"/>
      <c r="D392" s="308"/>
      <c r="E392" s="308"/>
      <c r="F392" s="308"/>
      <c r="G392" s="251"/>
      <c r="H392" s="251"/>
      <c r="I392" s="658"/>
      <c r="J392" s="308"/>
      <c r="K392" s="619"/>
    </row>
    <row r="393" spans="1:16">
      <c r="A393" s="308"/>
      <c r="B393" s="308"/>
      <c r="C393" s="308"/>
      <c r="D393" s="308"/>
      <c r="E393" s="308"/>
      <c r="F393" s="308"/>
      <c r="G393" s="251"/>
      <c r="H393" s="251"/>
      <c r="I393" s="658"/>
      <c r="J393" s="308"/>
      <c r="K393" s="619"/>
    </row>
    <row r="394" spans="1:16">
      <c r="A394" s="308"/>
      <c r="B394" s="308"/>
      <c r="C394" s="308"/>
      <c r="D394" s="308"/>
      <c r="E394" s="308"/>
      <c r="F394" s="308"/>
      <c r="G394" s="251"/>
      <c r="H394" s="251"/>
      <c r="I394" s="658"/>
      <c r="J394" s="308"/>
      <c r="K394" s="619"/>
    </row>
    <row r="395" spans="1:16">
      <c r="A395" s="308"/>
      <c r="B395" s="308"/>
      <c r="C395" s="308"/>
      <c r="D395" s="308"/>
      <c r="E395" s="308"/>
      <c r="F395" s="308"/>
      <c r="G395" s="251"/>
      <c r="H395" s="251"/>
      <c r="I395" s="658"/>
      <c r="J395" s="308"/>
      <c r="K395" s="619"/>
    </row>
    <row r="396" spans="1:16">
      <c r="A396" s="308"/>
      <c r="B396" s="308"/>
      <c r="C396" s="308"/>
      <c r="D396" s="308"/>
      <c r="E396" s="308"/>
      <c r="F396" s="308"/>
      <c r="G396" s="251"/>
      <c r="H396" s="251"/>
      <c r="I396" s="658"/>
      <c r="J396" s="308"/>
      <c r="K396" s="619"/>
    </row>
    <row r="397" spans="1:16">
      <c r="A397" s="308"/>
      <c r="B397" s="308"/>
      <c r="C397" s="308"/>
      <c r="D397" s="308"/>
      <c r="E397" s="308"/>
      <c r="F397" s="308"/>
      <c r="G397" s="251"/>
      <c r="H397" s="251"/>
      <c r="I397" s="658"/>
      <c r="J397" s="308"/>
      <c r="K397" s="619"/>
    </row>
    <row r="398" spans="1:16">
      <c r="A398" s="308"/>
      <c r="B398" s="308"/>
      <c r="C398" s="308"/>
      <c r="D398" s="308"/>
      <c r="E398" s="308"/>
      <c r="F398" s="308"/>
      <c r="G398" s="251"/>
      <c r="H398" s="251"/>
      <c r="I398" s="658"/>
      <c r="J398" s="308"/>
      <c r="K398" s="619"/>
    </row>
    <row r="399" spans="1:16">
      <c r="A399" s="308"/>
      <c r="B399" s="308"/>
      <c r="C399" s="308"/>
      <c r="D399" s="308"/>
      <c r="E399" s="308"/>
      <c r="F399" s="308"/>
      <c r="G399" s="251"/>
      <c r="H399" s="251"/>
      <c r="I399" s="658"/>
      <c r="J399" s="308"/>
      <c r="K399" s="619"/>
    </row>
    <row r="400" spans="1:16">
      <c r="A400" s="308"/>
      <c r="B400" s="308"/>
      <c r="C400" s="308"/>
      <c r="D400" s="308"/>
      <c r="E400" s="308"/>
      <c r="F400" s="308"/>
      <c r="G400" s="251"/>
      <c r="H400" s="251"/>
      <c r="I400" s="658"/>
      <c r="J400" s="308"/>
      <c r="K400" s="619"/>
    </row>
    <row r="401" spans="1:25">
      <c r="A401" s="308"/>
      <c r="B401" s="308"/>
      <c r="C401" s="308"/>
      <c r="D401" s="308"/>
      <c r="E401" s="308"/>
      <c r="F401" s="308"/>
      <c r="G401" s="251"/>
      <c r="H401" s="251"/>
      <c r="I401" s="658"/>
      <c r="J401" s="308"/>
      <c r="K401" s="619"/>
    </row>
    <row r="402" spans="1:25" s="786" customFormat="1">
      <c r="A402" s="308"/>
      <c r="B402" s="308"/>
      <c r="C402" s="308"/>
      <c r="D402" s="308"/>
      <c r="E402" s="308"/>
      <c r="F402" s="308"/>
      <c r="G402" s="251"/>
      <c r="H402" s="251"/>
      <c r="I402" s="658"/>
      <c r="J402" s="308"/>
      <c r="K402" s="619"/>
      <c r="M402"/>
      <c r="N402"/>
      <c r="O402"/>
      <c r="P402"/>
      <c r="Q402"/>
      <c r="R402"/>
      <c r="S402"/>
      <c r="T402"/>
      <c r="U402"/>
      <c r="V402"/>
      <c r="W402"/>
      <c r="X402"/>
      <c r="Y402"/>
    </row>
    <row r="403" spans="1:25" s="786" customFormat="1">
      <c r="A403" s="308"/>
      <c r="B403" s="308"/>
      <c r="C403" s="308"/>
      <c r="D403" s="308"/>
      <c r="E403" s="308"/>
      <c r="F403" s="308"/>
      <c r="G403" s="251"/>
      <c r="H403" s="251"/>
      <c r="I403" s="658"/>
      <c r="J403" s="308"/>
      <c r="K403" s="619"/>
      <c r="M403"/>
      <c r="N403"/>
      <c r="O403"/>
      <c r="P403"/>
      <c r="Q403"/>
      <c r="R403"/>
      <c r="S403"/>
      <c r="T403"/>
      <c r="U403"/>
      <c r="V403"/>
      <c r="W403"/>
      <c r="X403"/>
      <c r="Y403"/>
    </row>
    <row r="404" spans="1:25" s="786" customFormat="1">
      <c r="A404" s="308"/>
      <c r="B404" s="308"/>
      <c r="C404" s="308"/>
      <c r="D404" s="308"/>
      <c r="E404" s="308"/>
      <c r="F404" s="308"/>
      <c r="G404" s="251"/>
      <c r="H404" s="251"/>
      <c r="I404" s="658"/>
      <c r="J404" s="308"/>
      <c r="K404" s="619"/>
      <c r="M404"/>
      <c r="N404"/>
      <c r="O404"/>
      <c r="P404"/>
      <c r="Q404"/>
      <c r="R404"/>
      <c r="S404"/>
      <c r="T404"/>
      <c r="U404"/>
      <c r="V404"/>
      <c r="W404"/>
      <c r="X404"/>
      <c r="Y404"/>
    </row>
    <row r="405" spans="1:25" s="786" customFormat="1">
      <c r="A405" s="308"/>
      <c r="B405" s="308"/>
      <c r="C405" s="308"/>
      <c r="D405" s="308"/>
      <c r="E405" s="308"/>
      <c r="F405" s="308"/>
      <c r="G405" s="251"/>
      <c r="H405" s="251"/>
      <c r="I405" s="658"/>
      <c r="J405" s="308"/>
      <c r="K405" s="619"/>
      <c r="M405"/>
      <c r="N405"/>
      <c r="O405"/>
      <c r="P405"/>
      <c r="Q405"/>
      <c r="R405"/>
      <c r="S405"/>
      <c r="T405"/>
      <c r="U405"/>
      <c r="V405"/>
      <c r="W405"/>
      <c r="X405"/>
      <c r="Y405"/>
    </row>
    <row r="406" spans="1:25" s="786" customFormat="1">
      <c r="A406" s="308"/>
      <c r="B406" s="308"/>
      <c r="C406" s="308"/>
      <c r="D406" s="308"/>
      <c r="E406" s="308"/>
      <c r="F406" s="308"/>
      <c r="G406" s="251"/>
      <c r="H406" s="251"/>
      <c r="I406" s="658"/>
      <c r="J406" s="308"/>
      <c r="K406" s="619"/>
      <c r="M406"/>
      <c r="N406"/>
      <c r="O406"/>
      <c r="P406"/>
      <c r="Q406"/>
      <c r="R406"/>
      <c r="S406"/>
      <c r="T406"/>
      <c r="U406"/>
      <c r="V406"/>
      <c r="W406"/>
      <c r="X406"/>
      <c r="Y406"/>
    </row>
    <row r="407" spans="1:25" s="786" customFormat="1">
      <c r="A407" s="308"/>
      <c r="B407" s="308"/>
      <c r="C407" s="308"/>
      <c r="D407" s="308"/>
      <c r="E407" s="308"/>
      <c r="F407" s="308"/>
      <c r="G407" s="251"/>
      <c r="H407" s="251"/>
      <c r="I407" s="658"/>
      <c r="J407" s="308"/>
      <c r="K407" s="619"/>
      <c r="M407"/>
      <c r="N407"/>
      <c r="O407"/>
      <c r="P407"/>
      <c r="Q407"/>
      <c r="R407"/>
      <c r="S407"/>
      <c r="T407"/>
      <c r="U407"/>
      <c r="V407"/>
      <c r="W407"/>
      <c r="X407"/>
      <c r="Y407"/>
    </row>
    <row r="408" spans="1:25" s="786" customFormat="1">
      <c r="A408" s="308"/>
      <c r="B408" s="308"/>
      <c r="C408" s="308"/>
      <c r="D408" s="308"/>
      <c r="E408" s="308"/>
      <c r="F408" s="308"/>
      <c r="G408" s="251"/>
      <c r="H408" s="251"/>
      <c r="I408" s="658"/>
      <c r="J408" s="308"/>
      <c r="K408" s="619"/>
      <c r="M408"/>
      <c r="N408"/>
      <c r="O408"/>
      <c r="P408"/>
      <c r="Q408"/>
      <c r="R408"/>
      <c r="S408"/>
      <c r="T408"/>
      <c r="U408"/>
      <c r="V408"/>
      <c r="W408"/>
      <c r="X408"/>
      <c r="Y408"/>
    </row>
    <row r="409" spans="1:25" s="786" customFormat="1">
      <c r="A409" s="308"/>
      <c r="B409" s="308"/>
      <c r="C409" s="308"/>
      <c r="D409" s="308"/>
      <c r="E409" s="308"/>
      <c r="F409" s="308"/>
      <c r="G409" s="251"/>
      <c r="H409" s="251"/>
      <c r="I409" s="658"/>
      <c r="J409" s="308"/>
      <c r="K409" s="619"/>
      <c r="M409"/>
      <c r="N409"/>
      <c r="O409"/>
      <c r="P409"/>
      <c r="Q409"/>
      <c r="R409"/>
      <c r="S409"/>
      <c r="T409"/>
      <c r="U409"/>
      <c r="V409"/>
      <c r="W409"/>
      <c r="X409"/>
      <c r="Y409"/>
    </row>
    <row r="410" spans="1:25" s="786" customFormat="1">
      <c r="A410" s="308"/>
      <c r="B410" s="308"/>
      <c r="C410" s="308"/>
      <c r="D410" s="308"/>
      <c r="E410" s="308"/>
      <c r="F410" s="308"/>
      <c r="G410" s="251"/>
      <c r="H410" s="251"/>
      <c r="I410" s="658"/>
      <c r="J410" s="308"/>
      <c r="K410" s="619"/>
      <c r="M410"/>
      <c r="N410"/>
      <c r="O410"/>
      <c r="P410"/>
      <c r="Q410"/>
      <c r="R410"/>
      <c r="S410"/>
      <c r="T410"/>
      <c r="U410"/>
      <c r="V410"/>
      <c r="W410"/>
      <c r="X410"/>
      <c r="Y410"/>
    </row>
    <row r="411" spans="1:25" s="786" customFormat="1">
      <c r="A411" s="308"/>
      <c r="B411" s="308"/>
      <c r="C411" s="308"/>
      <c r="D411" s="308"/>
      <c r="E411" s="308"/>
      <c r="F411" s="308"/>
      <c r="G411" s="251"/>
      <c r="H411" s="251"/>
      <c r="I411" s="658"/>
      <c r="J411" s="308"/>
      <c r="K411" s="619"/>
      <c r="M411"/>
      <c r="N411"/>
      <c r="O411"/>
      <c r="P411"/>
      <c r="Q411"/>
      <c r="R411"/>
      <c r="S411"/>
      <c r="T411"/>
      <c r="U411"/>
      <c r="V411"/>
      <c r="W411"/>
      <c r="X411"/>
      <c r="Y411"/>
    </row>
    <row r="412" spans="1:25" s="786" customFormat="1">
      <c r="A412" s="308"/>
      <c r="B412" s="308"/>
      <c r="C412" s="308"/>
      <c r="D412" s="308"/>
      <c r="E412" s="308"/>
      <c r="F412" s="308"/>
      <c r="G412" s="251"/>
      <c r="H412" s="251"/>
      <c r="I412" s="658"/>
      <c r="J412" s="308"/>
      <c r="K412" s="619"/>
      <c r="M412"/>
      <c r="N412"/>
      <c r="O412"/>
      <c r="P412"/>
      <c r="Q412"/>
      <c r="R412"/>
      <c r="S412"/>
      <c r="T412"/>
      <c r="U412"/>
      <c r="V412"/>
      <c r="W412"/>
      <c r="X412"/>
      <c r="Y412"/>
    </row>
    <row r="413" spans="1:25" s="786" customFormat="1">
      <c r="A413" s="308"/>
      <c r="B413" s="308"/>
      <c r="C413" s="308"/>
      <c r="D413" s="308"/>
      <c r="E413" s="308"/>
      <c r="F413" s="308"/>
      <c r="G413" s="251"/>
      <c r="H413" s="251"/>
      <c r="I413" s="658"/>
      <c r="J413" s="308"/>
      <c r="K413" s="619"/>
      <c r="M413"/>
      <c r="N413"/>
      <c r="O413"/>
      <c r="P413"/>
      <c r="Q413"/>
      <c r="R413"/>
      <c r="S413"/>
      <c r="T413"/>
      <c r="U413"/>
      <c r="V413"/>
      <c r="W413"/>
      <c r="X413"/>
      <c r="Y413"/>
    </row>
    <row r="414" spans="1:25" s="786" customFormat="1">
      <c r="A414" s="308"/>
      <c r="B414" s="308"/>
      <c r="C414" s="308"/>
      <c r="D414" s="308"/>
      <c r="E414" s="308"/>
      <c r="F414" s="308"/>
      <c r="G414" s="251"/>
      <c r="H414" s="251"/>
      <c r="I414" s="658"/>
      <c r="J414" s="308"/>
      <c r="K414" s="619"/>
      <c r="M414"/>
      <c r="N414"/>
      <c r="O414"/>
      <c r="P414"/>
      <c r="Q414"/>
      <c r="R414"/>
      <c r="S414"/>
      <c r="T414"/>
      <c r="U414"/>
      <c r="V414"/>
      <c r="W414"/>
      <c r="X414"/>
      <c r="Y414"/>
    </row>
    <row r="415" spans="1:25" s="786" customFormat="1">
      <c r="A415" s="308"/>
      <c r="B415" s="308"/>
      <c r="C415" s="308"/>
      <c r="D415" s="308"/>
      <c r="E415" s="308"/>
      <c r="F415" s="308"/>
      <c r="G415" s="251"/>
      <c r="H415" s="251"/>
      <c r="I415" s="658"/>
      <c r="J415" s="308"/>
      <c r="K415" s="619"/>
      <c r="M415"/>
      <c r="N415"/>
      <c r="O415"/>
      <c r="P415"/>
      <c r="Q415"/>
      <c r="R415"/>
      <c r="S415"/>
      <c r="T415"/>
      <c r="U415"/>
      <c r="V415"/>
      <c r="W415"/>
      <c r="X415"/>
      <c r="Y415"/>
    </row>
    <row r="416" spans="1:25" s="786" customFormat="1">
      <c r="A416" s="308"/>
      <c r="B416" s="308"/>
      <c r="C416" s="308"/>
      <c r="D416" s="308"/>
      <c r="E416" s="308"/>
      <c r="F416" s="308"/>
      <c r="G416" s="251"/>
      <c r="H416" s="251"/>
      <c r="I416" s="658"/>
      <c r="J416" s="308"/>
      <c r="K416" s="619"/>
      <c r="M416"/>
      <c r="N416"/>
      <c r="O416"/>
      <c r="P416"/>
      <c r="Q416"/>
      <c r="R416"/>
      <c r="S416"/>
      <c r="T416"/>
      <c r="U416"/>
      <c r="V416"/>
      <c r="W416"/>
      <c r="X416"/>
      <c r="Y416"/>
    </row>
    <row r="417" spans="1:25" s="786" customFormat="1" ht="15.75" thickBot="1">
      <c r="A417" s="308"/>
      <c r="B417" s="308"/>
      <c r="C417" s="308"/>
      <c r="D417" s="308"/>
      <c r="E417" s="308"/>
      <c r="F417" s="308"/>
      <c r="G417" s="251"/>
      <c r="H417" s="251"/>
      <c r="I417" s="658"/>
      <c r="J417" s="308"/>
      <c r="K417" s="619"/>
      <c r="M417"/>
      <c r="N417"/>
      <c r="O417"/>
      <c r="P417"/>
      <c r="Q417"/>
      <c r="R417"/>
      <c r="S417"/>
      <c r="T417"/>
      <c r="U417"/>
      <c r="V417"/>
      <c r="W417"/>
      <c r="X417"/>
      <c r="Y417"/>
    </row>
    <row r="418" spans="1:25" ht="15.75" thickTop="1">
      <c r="A418" s="1323" t="s">
        <v>367</v>
      </c>
      <c r="B418" s="1324"/>
      <c r="C418" s="1324"/>
      <c r="D418" s="1324"/>
      <c r="E418" s="1324"/>
      <c r="F418" s="1324"/>
      <c r="G418" s="1324"/>
      <c r="H418" s="1324"/>
      <c r="I418" s="1324"/>
      <c r="J418" s="1325"/>
      <c r="K418" s="585"/>
    </row>
    <row r="419" spans="1:25" ht="25.5">
      <c r="A419" s="818"/>
      <c r="B419" s="1326" t="s">
        <v>10</v>
      </c>
      <c r="C419" s="1326"/>
      <c r="D419" s="1326"/>
      <c r="E419" s="1326"/>
      <c r="F419" s="1326"/>
      <c r="G419" s="844" t="s">
        <v>287</v>
      </c>
      <c r="H419" s="844" t="s">
        <v>288</v>
      </c>
      <c r="I419" s="636" t="s">
        <v>18</v>
      </c>
      <c r="J419" s="377" t="s">
        <v>20</v>
      </c>
      <c r="K419" s="585"/>
    </row>
    <row r="420" spans="1:25">
      <c r="A420" s="378"/>
      <c r="B420" s="1316" t="s">
        <v>205</v>
      </c>
      <c r="C420" s="1317"/>
      <c r="D420" s="1317"/>
      <c r="E420" s="1317"/>
      <c r="F420" s="1318"/>
      <c r="G420" s="578"/>
      <c r="H420" s="578"/>
      <c r="I420" s="848"/>
      <c r="J420" s="541">
        <f>SUM(J421+J426+J428)</f>
        <v>25150.077699999998</v>
      </c>
      <c r="K420" s="616"/>
    </row>
    <row r="421" spans="1:25">
      <c r="A421" s="380">
        <v>1</v>
      </c>
      <c r="B421" s="1322" t="s">
        <v>36</v>
      </c>
      <c r="C421" s="1322"/>
      <c r="D421" s="1322"/>
      <c r="E421" s="1322"/>
      <c r="F421" s="1322"/>
      <c r="G421" s="181"/>
      <c r="H421" s="182"/>
      <c r="I421" s="637"/>
      <c r="J421" s="513">
        <f>SUM(J422:J425)</f>
        <v>10526.923699999999</v>
      </c>
      <c r="K421" s="620"/>
    </row>
    <row r="422" spans="1:25">
      <c r="A422" s="412" t="s">
        <v>39</v>
      </c>
      <c r="B422" s="1616" t="s">
        <v>364</v>
      </c>
      <c r="C422" s="1617"/>
      <c r="D422" s="1617"/>
      <c r="E422" s="1617"/>
      <c r="F422" s="1618"/>
      <c r="G422" s="185">
        <f>81+291.46</f>
        <v>372.46</v>
      </c>
      <c r="H422" s="186" t="s">
        <v>92</v>
      </c>
      <c r="I422" s="529">
        <v>15</v>
      </c>
      <c r="J422" s="514">
        <f>G422*I422</f>
        <v>5586.9</v>
      </c>
      <c r="K422" s="613"/>
      <c r="L422" s="786" t="s">
        <v>459</v>
      </c>
    </row>
    <row r="423" spans="1:25" ht="24.75" customHeight="1">
      <c r="A423" s="412" t="s">
        <v>345</v>
      </c>
      <c r="B423" s="1313" t="s">
        <v>93</v>
      </c>
      <c r="C423" s="1314"/>
      <c r="D423" s="1314"/>
      <c r="E423" s="1314"/>
      <c r="F423" s="1315"/>
      <c r="G423" s="185">
        <v>691.27</v>
      </c>
      <c r="H423" s="186" t="s">
        <v>96</v>
      </c>
      <c r="I423" s="529">
        <v>1.49</v>
      </c>
      <c r="J423" s="514">
        <f>G423*I423</f>
        <v>1029.9922999999999</v>
      </c>
      <c r="K423" s="613"/>
      <c r="L423" s="786" t="s">
        <v>460</v>
      </c>
    </row>
    <row r="424" spans="1:25">
      <c r="A424" s="412" t="s">
        <v>347</v>
      </c>
      <c r="B424" s="1313" t="s">
        <v>363</v>
      </c>
      <c r="C424" s="1314"/>
      <c r="D424" s="1314"/>
      <c r="E424" s="1314"/>
      <c r="F424" s="1315"/>
      <c r="G424" s="185">
        <f>G422</f>
        <v>372.46</v>
      </c>
      <c r="H424" s="186" t="s">
        <v>92</v>
      </c>
      <c r="I424" s="529">
        <v>4.2300000000000004</v>
      </c>
      <c r="J424" s="514">
        <f>G424*I424</f>
        <v>1575.5058000000001</v>
      </c>
      <c r="K424" s="613"/>
      <c r="L424" s="786" t="s">
        <v>461</v>
      </c>
    </row>
    <row r="425" spans="1:25">
      <c r="A425" s="412" t="s">
        <v>349</v>
      </c>
      <c r="B425" s="1313" t="s">
        <v>346</v>
      </c>
      <c r="C425" s="1314"/>
      <c r="D425" s="1314"/>
      <c r="E425" s="1314"/>
      <c r="F425" s="1315"/>
      <c r="G425" s="185">
        <f>215.36+25.81</f>
        <v>241.17000000000002</v>
      </c>
      <c r="H425" s="186" t="s">
        <v>96</v>
      </c>
      <c r="I425" s="529">
        <v>9.68</v>
      </c>
      <c r="J425" s="514">
        <f>G425*I425</f>
        <v>2334.5255999999999</v>
      </c>
      <c r="K425" s="613"/>
      <c r="L425" s="786" t="s">
        <v>461</v>
      </c>
    </row>
    <row r="426" spans="1:25" ht="12.6" customHeight="1">
      <c r="A426" s="380">
        <v>4</v>
      </c>
      <c r="B426" s="1322" t="s">
        <v>63</v>
      </c>
      <c r="C426" s="1322"/>
      <c r="D426" s="1322"/>
      <c r="E426" s="1322"/>
      <c r="F426" s="1322"/>
      <c r="G426" s="182"/>
      <c r="H426" s="189"/>
      <c r="I426" s="638"/>
      <c r="J426" s="384">
        <f>J427</f>
        <v>7373.96</v>
      </c>
      <c r="K426" s="534"/>
    </row>
    <row r="427" spans="1:25" ht="27" customHeight="1">
      <c r="A427" s="389" t="s">
        <v>62</v>
      </c>
      <c r="B427" s="1335" t="s">
        <v>57</v>
      </c>
      <c r="C427" s="1335"/>
      <c r="D427" s="1335"/>
      <c r="E427" s="1335"/>
      <c r="F427" s="1335"/>
      <c r="G427" s="196">
        <f>5.85+3.32</f>
        <v>9.17</v>
      </c>
      <c r="H427" s="186" t="s">
        <v>96</v>
      </c>
      <c r="I427" s="554">
        <v>804.14</v>
      </c>
      <c r="J427" s="390">
        <f>ROUND(G427*I427,2)</f>
        <v>7373.96</v>
      </c>
      <c r="K427" s="584"/>
      <c r="L427" s="786" t="s">
        <v>461</v>
      </c>
    </row>
    <row r="428" spans="1:25">
      <c r="A428" s="393">
        <v>5</v>
      </c>
      <c r="B428" s="1336" t="s">
        <v>78</v>
      </c>
      <c r="C428" s="1337"/>
      <c r="D428" s="1337"/>
      <c r="E428" s="1337"/>
      <c r="F428" s="1338"/>
      <c r="G428" s="292"/>
      <c r="H428" s="204"/>
      <c r="I428" s="637"/>
      <c r="J428" s="394">
        <f>SUM(J429:J429)</f>
        <v>7249.1940000000004</v>
      </c>
      <c r="K428" s="534"/>
    </row>
    <row r="429" spans="1:25">
      <c r="A429" s="397" t="s">
        <v>337</v>
      </c>
      <c r="B429" s="1313" t="s">
        <v>334</v>
      </c>
      <c r="C429" s="1314"/>
      <c r="D429" s="1314"/>
      <c r="E429" s="1314"/>
      <c r="F429" s="1315"/>
      <c r="G429" s="201">
        <v>15.63</v>
      </c>
      <c r="H429" s="186" t="s">
        <v>92</v>
      </c>
      <c r="I429" s="196">
        <v>463.8</v>
      </c>
      <c r="J429" s="390">
        <f>G429*I429</f>
        <v>7249.1940000000004</v>
      </c>
      <c r="K429" s="584"/>
      <c r="L429" s="786" t="s">
        <v>461</v>
      </c>
    </row>
    <row r="430" spans="1:25">
      <c r="A430" s="412"/>
      <c r="B430" s="808"/>
      <c r="C430" s="809"/>
      <c r="D430" s="809"/>
      <c r="E430" s="809"/>
      <c r="F430" s="810"/>
      <c r="G430" s="201"/>
      <c r="H430" s="186"/>
      <c r="I430" s="196"/>
      <c r="J430" s="390"/>
      <c r="K430" s="584"/>
    </row>
    <row r="431" spans="1:25" ht="13.15" customHeight="1">
      <c r="A431" s="417"/>
      <c r="B431" s="1316" t="s">
        <v>311</v>
      </c>
      <c r="C431" s="1317"/>
      <c r="D431" s="1317"/>
      <c r="E431" s="1317"/>
      <c r="F431" s="1318"/>
      <c r="G431" s="182"/>
      <c r="H431" s="189"/>
      <c r="I431" s="638"/>
      <c r="J431" s="542">
        <f>SUM(J432+J436+J438)</f>
        <v>10738.2876</v>
      </c>
      <c r="K431" s="614"/>
    </row>
    <row r="432" spans="1:25" ht="12" customHeight="1">
      <c r="A432" s="380">
        <v>3</v>
      </c>
      <c r="B432" s="1301" t="s">
        <v>315</v>
      </c>
      <c r="C432" s="1302"/>
      <c r="D432" s="1302"/>
      <c r="E432" s="1302"/>
      <c r="F432" s="1303"/>
      <c r="G432" s="182"/>
      <c r="H432" s="189"/>
      <c r="I432" s="637"/>
      <c r="J432" s="384">
        <f>SUM(J433:J435)</f>
        <v>3219.8576000000003</v>
      </c>
      <c r="K432" s="534"/>
    </row>
    <row r="433" spans="1:12" ht="29.45" customHeight="1">
      <c r="A433" s="385" t="s">
        <v>54</v>
      </c>
      <c r="B433" s="1330" t="s">
        <v>93</v>
      </c>
      <c r="C433" s="1330"/>
      <c r="D433" s="1330"/>
      <c r="E433" s="1330"/>
      <c r="F433" s="1330"/>
      <c r="G433" s="205">
        <f>21.42+84.82</f>
        <v>106.24</v>
      </c>
      <c r="H433" s="823" t="s">
        <v>96</v>
      </c>
      <c r="I433" s="529">
        <f>SUM(I423)</f>
        <v>1.49</v>
      </c>
      <c r="J433" s="395">
        <f>SUM(G433*I433)+0.04</f>
        <v>158.33759999999998</v>
      </c>
      <c r="K433" s="584"/>
      <c r="L433" s="786" t="s">
        <v>460</v>
      </c>
    </row>
    <row r="434" spans="1:12">
      <c r="A434" s="385" t="s">
        <v>95</v>
      </c>
      <c r="B434" s="1331" t="s">
        <v>94</v>
      </c>
      <c r="C434" s="1332"/>
      <c r="D434" s="1332"/>
      <c r="E434" s="1332"/>
      <c r="F434" s="1333"/>
      <c r="G434" s="205">
        <f>1.29+5.09</f>
        <v>6.38</v>
      </c>
      <c r="H434" s="823" t="s">
        <v>92</v>
      </c>
      <c r="I434" s="529">
        <v>201.99</v>
      </c>
      <c r="J434" s="395">
        <f>ROUND(G434*I434,2)</f>
        <v>1288.7</v>
      </c>
      <c r="K434" s="584"/>
      <c r="L434" s="786" t="s">
        <v>460</v>
      </c>
    </row>
    <row r="435" spans="1:12">
      <c r="A435" s="840" t="s">
        <v>97</v>
      </c>
      <c r="B435" s="1291" t="s">
        <v>370</v>
      </c>
      <c r="C435" s="1292"/>
      <c r="D435" s="1292"/>
      <c r="E435" s="1292"/>
      <c r="F435" s="1334"/>
      <c r="G435" s="300">
        <f>41.18+84.82</f>
        <v>126</v>
      </c>
      <c r="H435" s="823" t="s">
        <v>96</v>
      </c>
      <c r="I435" s="529">
        <v>14.07</v>
      </c>
      <c r="J435" s="515">
        <f>G435*I435</f>
        <v>1772.82</v>
      </c>
      <c r="K435" s="621"/>
      <c r="L435" s="786" t="s">
        <v>461</v>
      </c>
    </row>
    <row r="436" spans="1:12" ht="13.15" customHeight="1">
      <c r="A436" s="380">
        <v>8</v>
      </c>
      <c r="B436" s="1322" t="s">
        <v>116</v>
      </c>
      <c r="C436" s="1322"/>
      <c r="D436" s="1322"/>
      <c r="E436" s="1322"/>
      <c r="F436" s="1322"/>
      <c r="G436" s="182"/>
      <c r="H436" s="189"/>
      <c r="I436" s="638"/>
      <c r="J436" s="384">
        <f>J437</f>
        <v>1319.32</v>
      </c>
      <c r="K436" s="534"/>
    </row>
    <row r="437" spans="1:12" ht="24.75" customHeight="1">
      <c r="A437" s="397" t="s">
        <v>335</v>
      </c>
      <c r="B437" s="1313" t="s">
        <v>336</v>
      </c>
      <c r="C437" s="1314"/>
      <c r="D437" s="1314"/>
      <c r="E437" s="1314"/>
      <c r="F437" s="1315"/>
      <c r="G437" s="201">
        <v>1</v>
      </c>
      <c r="H437" s="186" t="s">
        <v>80</v>
      </c>
      <c r="I437" s="659">
        <v>1319.32</v>
      </c>
      <c r="J437" s="390">
        <f>ROUND(G437*I437,2)</f>
        <v>1319.32</v>
      </c>
      <c r="K437" s="584"/>
      <c r="L437" s="786" t="s">
        <v>461</v>
      </c>
    </row>
    <row r="438" spans="1:12" ht="12.6" customHeight="1">
      <c r="A438" s="439">
        <v>11</v>
      </c>
      <c r="B438" s="1310" t="s">
        <v>195</v>
      </c>
      <c r="C438" s="1311"/>
      <c r="D438" s="1311"/>
      <c r="E438" s="1311"/>
      <c r="F438" s="1312"/>
      <c r="G438" s="182"/>
      <c r="H438" s="189"/>
      <c r="I438" s="638"/>
      <c r="J438" s="384">
        <f>SUM(J439:J440)</f>
        <v>6199.1100000000006</v>
      </c>
      <c r="K438" s="534"/>
    </row>
    <row r="439" spans="1:12">
      <c r="A439" s="397" t="s">
        <v>343</v>
      </c>
      <c r="B439" s="1313" t="s">
        <v>344</v>
      </c>
      <c r="C439" s="1314"/>
      <c r="D439" s="1314"/>
      <c r="E439" s="1314"/>
      <c r="F439" s="1315"/>
      <c r="G439" s="201">
        <f>6+3</f>
        <v>9</v>
      </c>
      <c r="H439" s="186" t="s">
        <v>96</v>
      </c>
      <c r="I439" s="659">
        <v>629.51</v>
      </c>
      <c r="J439" s="390">
        <f>ROUND(G439*I439,2)</f>
        <v>5665.59</v>
      </c>
      <c r="K439" s="584"/>
      <c r="L439" s="786" t="s">
        <v>461</v>
      </c>
    </row>
    <row r="440" spans="1:12" ht="18.600000000000001" customHeight="1">
      <c r="A440" s="412" t="s">
        <v>368</v>
      </c>
      <c r="B440" s="1313" t="s">
        <v>369</v>
      </c>
      <c r="C440" s="1314"/>
      <c r="D440" s="1314"/>
      <c r="E440" s="1314"/>
      <c r="F440" s="1315"/>
      <c r="G440" s="201">
        <v>18</v>
      </c>
      <c r="H440" s="186" t="s">
        <v>96</v>
      </c>
      <c r="I440" s="660">
        <v>29.64</v>
      </c>
      <c r="J440" s="390">
        <f>G440*I440</f>
        <v>533.52</v>
      </c>
      <c r="K440" s="584"/>
      <c r="L440" s="786" t="s">
        <v>461</v>
      </c>
    </row>
    <row r="441" spans="1:12" ht="13.15" customHeight="1">
      <c r="A441" s="417"/>
      <c r="B441" s="1316" t="s">
        <v>348</v>
      </c>
      <c r="C441" s="1317"/>
      <c r="D441" s="1317"/>
      <c r="E441" s="1317"/>
      <c r="F441" s="1318"/>
      <c r="G441" s="182"/>
      <c r="H441" s="189"/>
      <c r="I441" s="637"/>
      <c r="J441" s="384">
        <f>SUM(J442+J448+J455+J458)-2</f>
        <v>26012.082591999999</v>
      </c>
      <c r="K441" s="534"/>
    </row>
    <row r="442" spans="1:12" ht="13.15" customHeight="1">
      <c r="A442" s="380">
        <v>1</v>
      </c>
      <c r="B442" s="1301" t="s">
        <v>91</v>
      </c>
      <c r="C442" s="1302"/>
      <c r="D442" s="1302"/>
      <c r="E442" s="1302"/>
      <c r="F442" s="1303"/>
      <c r="G442" s="221"/>
      <c r="H442" s="222"/>
      <c r="I442" s="648"/>
      <c r="J442" s="419">
        <f>SUM(J443:J447)-0.01</f>
        <v>5600.4325919999992</v>
      </c>
      <c r="K442" s="615"/>
    </row>
    <row r="443" spans="1:12">
      <c r="A443" s="397" t="s">
        <v>37</v>
      </c>
      <c r="B443" s="1313" t="s">
        <v>85</v>
      </c>
      <c r="C443" s="1314"/>
      <c r="D443" s="1314"/>
      <c r="E443" s="1314"/>
      <c r="F443" s="1315"/>
      <c r="G443" s="201">
        <f>1.8+1.46+1.18</f>
        <v>4.4399999999999995</v>
      </c>
      <c r="H443" s="186" t="s">
        <v>92</v>
      </c>
      <c r="I443" s="529">
        <f>SUM(I191)</f>
        <v>28.566000000000003</v>
      </c>
      <c r="J443" s="390">
        <f>G443*I443</f>
        <v>126.83304</v>
      </c>
      <c r="K443" s="584"/>
      <c r="L443" s="786" t="s">
        <v>460</v>
      </c>
    </row>
    <row r="444" spans="1:12">
      <c r="A444" s="397" t="s">
        <v>39</v>
      </c>
      <c r="B444" s="1319" t="s">
        <v>49</v>
      </c>
      <c r="C444" s="1320"/>
      <c r="D444" s="1320"/>
      <c r="E444" s="1320"/>
      <c r="F444" s="1321"/>
      <c r="G444" s="201">
        <f>32+36</f>
        <v>68</v>
      </c>
      <c r="H444" s="186" t="s">
        <v>52</v>
      </c>
      <c r="I444" s="529">
        <f>I155</f>
        <v>33.129199999999997</v>
      </c>
      <c r="J444" s="390">
        <f>G444*I444</f>
        <v>2252.7855999999997</v>
      </c>
      <c r="K444" s="584"/>
      <c r="L444" s="786" t="s">
        <v>460</v>
      </c>
    </row>
    <row r="445" spans="1:12">
      <c r="A445" s="397" t="s">
        <v>345</v>
      </c>
      <c r="B445" s="853" t="s">
        <v>87</v>
      </c>
      <c r="C445" s="809"/>
      <c r="D445" s="809"/>
      <c r="E445" s="809"/>
      <c r="F445" s="810"/>
      <c r="G445" s="201">
        <f>162+131.4+106.2</f>
        <v>399.59999999999997</v>
      </c>
      <c r="H445" s="186" t="s">
        <v>50</v>
      </c>
      <c r="I445" s="529">
        <f>I194</f>
        <v>4.6092000000000004</v>
      </c>
      <c r="J445" s="390">
        <f>G445*I445</f>
        <v>1841.8363200000001</v>
      </c>
      <c r="K445" s="584"/>
      <c r="L445" s="786" t="s">
        <v>460</v>
      </c>
    </row>
    <row r="446" spans="1:12">
      <c r="A446" s="397" t="s">
        <v>347</v>
      </c>
      <c r="B446" s="243" t="s">
        <v>89</v>
      </c>
      <c r="C446" s="809"/>
      <c r="D446" s="809"/>
      <c r="E446" s="809"/>
      <c r="F446" s="810"/>
      <c r="G446" s="201">
        <f>1.8+1.46+1.18</f>
        <v>4.4399999999999995</v>
      </c>
      <c r="H446" s="186" t="s">
        <v>92</v>
      </c>
      <c r="I446" s="529">
        <f>I195</f>
        <v>230.39560000000003</v>
      </c>
      <c r="J446" s="390">
        <f>G446*I446</f>
        <v>1022.956464</v>
      </c>
      <c r="K446" s="584"/>
      <c r="L446" s="786" t="s">
        <v>460</v>
      </c>
    </row>
    <row r="447" spans="1:12">
      <c r="A447" s="397" t="s">
        <v>349</v>
      </c>
      <c r="B447" s="853" t="s">
        <v>90</v>
      </c>
      <c r="C447" s="809"/>
      <c r="D447" s="809"/>
      <c r="E447" s="809"/>
      <c r="F447" s="810"/>
      <c r="G447" s="201">
        <f>1.8+1.46+1.18</f>
        <v>4.4399999999999995</v>
      </c>
      <c r="H447" s="186" t="s">
        <v>92</v>
      </c>
      <c r="I447" s="529">
        <f>I196</f>
        <v>80.187200000000004</v>
      </c>
      <c r="J447" s="390">
        <f>G447*I447</f>
        <v>356.03116799999998</v>
      </c>
      <c r="K447" s="584"/>
      <c r="L447" s="786" t="s">
        <v>460</v>
      </c>
    </row>
    <row r="448" spans="1:12" ht="13.9" customHeight="1">
      <c r="A448" s="380">
        <v>2</v>
      </c>
      <c r="B448" s="1301" t="s">
        <v>351</v>
      </c>
      <c r="C448" s="1302"/>
      <c r="D448" s="1302"/>
      <c r="E448" s="1302"/>
      <c r="F448" s="1303"/>
      <c r="G448" s="221"/>
      <c r="H448" s="222"/>
      <c r="I448" s="648"/>
      <c r="J448" s="419">
        <f>SUM(J449:J454)</f>
        <v>10782.57</v>
      </c>
      <c r="K448" s="615"/>
    </row>
    <row r="449" spans="1:12">
      <c r="A449" s="397" t="s">
        <v>84</v>
      </c>
      <c r="B449" s="1313" t="s">
        <v>352</v>
      </c>
      <c r="C449" s="1314"/>
      <c r="D449" s="1314"/>
      <c r="E449" s="1314"/>
      <c r="F449" s="1315"/>
      <c r="G449" s="244">
        <v>0.45</v>
      </c>
      <c r="H449" s="202" t="s">
        <v>92</v>
      </c>
      <c r="I449" s="529">
        <v>48.76</v>
      </c>
      <c r="J449" s="390">
        <f t="shared" ref="J449:J454" si="27">ROUND(G449*I449,2)</f>
        <v>21.94</v>
      </c>
      <c r="K449" s="584"/>
      <c r="L449" s="786" t="s">
        <v>461</v>
      </c>
    </row>
    <row r="450" spans="1:12">
      <c r="A450" s="397" t="s">
        <v>43</v>
      </c>
      <c r="B450" s="812" t="s">
        <v>353</v>
      </c>
      <c r="C450" s="809"/>
      <c r="D450" s="809"/>
      <c r="E450" s="809"/>
      <c r="F450" s="810"/>
      <c r="G450" s="201">
        <f>60-6+48.54+39.46</f>
        <v>142</v>
      </c>
      <c r="H450" s="186" t="s">
        <v>96</v>
      </c>
      <c r="I450" s="529">
        <v>40.9</v>
      </c>
      <c r="J450" s="390">
        <f t="shared" si="27"/>
        <v>5807.8</v>
      </c>
      <c r="K450" s="584"/>
      <c r="L450" s="786" t="s">
        <v>461</v>
      </c>
    </row>
    <row r="451" spans="1:12">
      <c r="A451" s="397" t="s">
        <v>240</v>
      </c>
      <c r="B451" s="812" t="s">
        <v>89</v>
      </c>
      <c r="C451" s="809"/>
      <c r="D451" s="809"/>
      <c r="E451" s="809"/>
      <c r="F451" s="810"/>
      <c r="G451" s="201">
        <f>0.72+0.81</f>
        <v>1.53</v>
      </c>
      <c r="H451" s="186" t="s">
        <v>92</v>
      </c>
      <c r="I451" s="529">
        <f>I195</f>
        <v>230.39560000000003</v>
      </c>
      <c r="J451" s="390">
        <f t="shared" si="27"/>
        <v>352.51</v>
      </c>
      <c r="K451" s="584"/>
      <c r="L451" s="786" t="s">
        <v>460</v>
      </c>
    </row>
    <row r="452" spans="1:12">
      <c r="A452" s="397" t="s">
        <v>45</v>
      </c>
      <c r="B452" s="812" t="s">
        <v>354</v>
      </c>
      <c r="C452" s="809"/>
      <c r="D452" s="809"/>
      <c r="E452" s="809"/>
      <c r="F452" s="810"/>
      <c r="G452" s="201">
        <f>64.8+72.9</f>
        <v>137.69999999999999</v>
      </c>
      <c r="H452" s="186" t="s">
        <v>50</v>
      </c>
      <c r="I452" s="529">
        <f>I194</f>
        <v>4.6092000000000004</v>
      </c>
      <c r="J452" s="390">
        <f t="shared" si="27"/>
        <v>634.69000000000005</v>
      </c>
      <c r="K452" s="584"/>
      <c r="L452" s="786" t="s">
        <v>460</v>
      </c>
    </row>
    <row r="453" spans="1:12">
      <c r="A453" s="397" t="s">
        <v>47</v>
      </c>
      <c r="B453" s="812" t="s">
        <v>321</v>
      </c>
      <c r="C453" s="809"/>
      <c r="D453" s="809"/>
      <c r="E453" s="809"/>
      <c r="F453" s="810"/>
      <c r="G453" s="201">
        <f>0.72+0.81</f>
        <v>1.53</v>
      </c>
      <c r="H453" s="186" t="s">
        <v>92</v>
      </c>
      <c r="I453" s="529">
        <f>I196</f>
        <v>80.187200000000004</v>
      </c>
      <c r="J453" s="390">
        <f t="shared" si="27"/>
        <v>122.69</v>
      </c>
      <c r="K453" s="584"/>
      <c r="L453" s="786" t="s">
        <v>460</v>
      </c>
    </row>
    <row r="454" spans="1:12">
      <c r="A454" s="397" t="s">
        <v>48</v>
      </c>
      <c r="B454" s="812" t="s">
        <v>323</v>
      </c>
      <c r="C454" s="809"/>
      <c r="D454" s="809"/>
      <c r="E454" s="809"/>
      <c r="F454" s="810"/>
      <c r="G454" s="201">
        <f>19.2+21.6</f>
        <v>40.799999999999997</v>
      </c>
      <c r="H454" s="186" t="s">
        <v>96</v>
      </c>
      <c r="I454" s="529">
        <f>I209</f>
        <v>94.189599999999999</v>
      </c>
      <c r="J454" s="390">
        <f t="shared" si="27"/>
        <v>3842.94</v>
      </c>
      <c r="K454" s="584"/>
      <c r="L454" s="786" t="s">
        <v>460</v>
      </c>
    </row>
    <row r="455" spans="1:12">
      <c r="A455" s="380">
        <v>3</v>
      </c>
      <c r="B455" s="1301" t="s">
        <v>208</v>
      </c>
      <c r="C455" s="1302"/>
      <c r="D455" s="1302"/>
      <c r="E455" s="1302"/>
      <c r="F455" s="1303"/>
      <c r="G455" s="221"/>
      <c r="H455" s="222"/>
      <c r="I455" s="648"/>
      <c r="J455" s="419">
        <f>SUM(J456:J457)</f>
        <v>3976.68</v>
      </c>
      <c r="K455" s="615"/>
    </row>
    <row r="456" spans="1:12">
      <c r="A456" s="397" t="s">
        <v>54</v>
      </c>
      <c r="B456" s="812" t="s">
        <v>65</v>
      </c>
      <c r="C456" s="809"/>
      <c r="D456" s="809"/>
      <c r="E456" s="809"/>
      <c r="F456" s="810"/>
      <c r="G456" s="201">
        <v>284</v>
      </c>
      <c r="H456" s="186" t="s">
        <v>96</v>
      </c>
      <c r="I456" s="529">
        <f>I169</f>
        <v>3.5420000000000003</v>
      </c>
      <c r="J456" s="390">
        <f>ROUND(G456*I456,2)</f>
        <v>1005.93</v>
      </c>
      <c r="K456" s="584"/>
      <c r="L456" s="786" t="s">
        <v>460</v>
      </c>
    </row>
    <row r="457" spans="1:12">
      <c r="A457" s="397" t="s">
        <v>95</v>
      </c>
      <c r="B457" s="812" t="s">
        <v>66</v>
      </c>
      <c r="C457" s="809"/>
      <c r="D457" s="809"/>
      <c r="E457" s="809"/>
      <c r="F457" s="810"/>
      <c r="G457" s="201">
        <v>284</v>
      </c>
      <c r="H457" s="186" t="s">
        <v>96</v>
      </c>
      <c r="I457" s="529">
        <f>I170</f>
        <v>10.4604</v>
      </c>
      <c r="J457" s="390">
        <v>2970.75</v>
      </c>
      <c r="K457" s="584"/>
      <c r="L457" s="786" t="s">
        <v>460</v>
      </c>
    </row>
    <row r="458" spans="1:12" ht="12.6" customHeight="1">
      <c r="A458" s="380">
        <v>4</v>
      </c>
      <c r="B458" s="1301" t="s">
        <v>350</v>
      </c>
      <c r="C458" s="1302"/>
      <c r="D458" s="1302"/>
      <c r="E458" s="1302"/>
      <c r="F458" s="1303"/>
      <c r="G458" s="221"/>
      <c r="H458" s="222"/>
      <c r="I458" s="648"/>
      <c r="J458" s="419">
        <f>J459</f>
        <v>5654.4</v>
      </c>
      <c r="K458" s="615"/>
    </row>
    <row r="459" spans="1:12">
      <c r="A459" s="397" t="s">
        <v>58</v>
      </c>
      <c r="B459" s="812" t="s">
        <v>193</v>
      </c>
      <c r="C459" s="809"/>
      <c r="D459" s="809"/>
      <c r="E459" s="809"/>
      <c r="F459" s="810"/>
      <c r="G459" s="201">
        <v>284</v>
      </c>
      <c r="H459" s="186" t="s">
        <v>96</v>
      </c>
      <c r="I459" s="659">
        <f>I268</f>
        <v>19.91</v>
      </c>
      <c r="J459" s="390">
        <f>SUM(G459*I459)-0.04</f>
        <v>5654.4</v>
      </c>
      <c r="K459" s="584"/>
      <c r="L459" s="786" t="s">
        <v>460</v>
      </c>
    </row>
    <row r="460" spans="1:12">
      <c r="A460" s="397"/>
      <c r="B460" s="543"/>
      <c r="C460" s="809"/>
      <c r="D460" s="809"/>
      <c r="E460" s="809"/>
      <c r="F460" s="810"/>
      <c r="G460" s="201"/>
      <c r="H460" s="186"/>
      <c r="I460" s="649"/>
      <c r="J460" s="531"/>
      <c r="K460" s="584"/>
    </row>
    <row r="461" spans="1:12">
      <c r="A461" s="1548" t="s">
        <v>21</v>
      </c>
      <c r="B461" s="1549"/>
      <c r="C461" s="1550"/>
      <c r="D461" s="1550"/>
      <c r="E461" s="1550"/>
      <c r="F461" s="1550"/>
      <c r="G461" s="1550"/>
      <c r="H461" s="1550"/>
      <c r="I461" s="652"/>
      <c r="J461" s="571">
        <f>SUM(J420+J431+J441)</f>
        <v>61900.447891999997</v>
      </c>
      <c r="K461" s="616"/>
    </row>
    <row r="462" spans="1:12" ht="14.45" customHeight="1">
      <c r="A462" s="1613" t="s">
        <v>432</v>
      </c>
      <c r="B462" s="1614"/>
      <c r="C462" s="1614"/>
      <c r="D462" s="1614"/>
      <c r="E462" s="1614"/>
      <c r="F462" s="1614"/>
      <c r="G462" s="1614"/>
      <c r="H462" s="1614"/>
      <c r="I462" s="1614"/>
      <c r="J462" s="1615"/>
      <c r="K462" s="501"/>
    </row>
    <row r="463" spans="1:12">
      <c r="A463" s="804"/>
      <c r="B463" s="805"/>
      <c r="C463" s="805"/>
      <c r="D463" s="805"/>
      <c r="E463" s="805"/>
      <c r="F463" s="805"/>
      <c r="G463" s="290"/>
      <c r="H463" s="290"/>
      <c r="I463" s="633"/>
      <c r="J463" s="806"/>
      <c r="K463" s="501"/>
    </row>
    <row r="464" spans="1:12">
      <c r="A464" s="804"/>
      <c r="B464" s="805"/>
      <c r="C464" s="805"/>
      <c r="D464" s="805"/>
      <c r="E464" s="805"/>
      <c r="F464" s="805"/>
      <c r="G464" s="290"/>
      <c r="H464" s="290"/>
      <c r="I464" s="633"/>
      <c r="J464" s="806"/>
      <c r="K464" s="501"/>
    </row>
    <row r="465" spans="1:25">
      <c r="A465" s="804"/>
      <c r="B465" s="805"/>
      <c r="C465" s="805"/>
      <c r="D465" s="805"/>
      <c r="E465" s="805"/>
      <c r="F465" s="805"/>
      <c r="G465" s="290"/>
      <c r="H465" s="290"/>
      <c r="I465" s="633"/>
      <c r="J465" s="806"/>
      <c r="K465" s="501"/>
    </row>
    <row r="466" spans="1:25" s="786" customFormat="1">
      <c r="A466" s="804"/>
      <c r="B466" s="805"/>
      <c r="C466" s="805"/>
      <c r="D466" s="805"/>
      <c r="E466" s="805"/>
      <c r="F466" s="805"/>
      <c r="G466" s="290"/>
      <c r="H466" s="290"/>
      <c r="I466" s="633"/>
      <c r="J466" s="806"/>
      <c r="K466" s="501"/>
      <c r="M466"/>
      <c r="N466"/>
      <c r="O466"/>
      <c r="P466"/>
      <c r="Q466"/>
      <c r="R466"/>
      <c r="S466"/>
      <c r="T466"/>
      <c r="U466"/>
      <c r="V466"/>
      <c r="W466"/>
      <c r="X466"/>
      <c r="Y466"/>
    </row>
    <row r="467" spans="1:25" s="786" customFormat="1">
      <c r="A467" s="1297" t="s">
        <v>379</v>
      </c>
      <c r="B467" s="1298"/>
      <c r="C467" s="1298"/>
      <c r="D467" s="1298"/>
      <c r="E467" s="1298"/>
      <c r="F467" s="1299" t="s">
        <v>296</v>
      </c>
      <c r="G467" s="1299"/>
      <c r="H467" s="1299"/>
      <c r="I467" s="1299"/>
      <c r="J467" s="1300"/>
      <c r="K467" s="617"/>
      <c r="M467"/>
      <c r="N467"/>
      <c r="O467"/>
      <c r="P467"/>
      <c r="Q467"/>
      <c r="R467"/>
      <c r="S467"/>
      <c r="T467"/>
      <c r="U467"/>
      <c r="V467"/>
      <c r="W467"/>
      <c r="X467"/>
      <c r="Y467"/>
    </row>
    <row r="468" spans="1:25" s="786" customFormat="1">
      <c r="A468" s="1297" t="s">
        <v>380</v>
      </c>
      <c r="B468" s="1298"/>
      <c r="C468" s="1298"/>
      <c r="D468" s="1298"/>
      <c r="E468" s="1298"/>
      <c r="F468" s="1299" t="s">
        <v>381</v>
      </c>
      <c r="G468" s="1299"/>
      <c r="H468" s="1299"/>
      <c r="I468" s="1299"/>
      <c r="J468" s="1300"/>
      <c r="K468" s="617"/>
      <c r="M468"/>
      <c r="N468"/>
      <c r="O468"/>
      <c r="P468"/>
      <c r="Q468"/>
      <c r="R468"/>
      <c r="S468"/>
      <c r="T468"/>
      <c r="U468"/>
      <c r="V468"/>
      <c r="W468"/>
      <c r="X468"/>
      <c r="Y468"/>
    </row>
    <row r="469" spans="1:25" s="786" customFormat="1">
      <c r="A469" s="1297" t="s">
        <v>382</v>
      </c>
      <c r="B469" s="1298"/>
      <c r="C469" s="1298"/>
      <c r="D469" s="1298"/>
      <c r="E469" s="1298"/>
      <c r="F469" s="1299" t="s">
        <v>383</v>
      </c>
      <c r="G469" s="1299"/>
      <c r="H469" s="1299"/>
      <c r="I469" s="1299"/>
      <c r="J469" s="1300"/>
      <c r="K469" s="617"/>
      <c r="M469"/>
      <c r="N469"/>
      <c r="O469"/>
      <c r="P469"/>
      <c r="Q469"/>
      <c r="R469"/>
      <c r="S469"/>
      <c r="T469"/>
      <c r="U469"/>
      <c r="V469"/>
      <c r="W469"/>
      <c r="X469"/>
      <c r="Y469"/>
    </row>
    <row r="470" spans="1:25" s="786" customFormat="1" ht="15.75" thickBot="1">
      <c r="A470" s="486"/>
      <c r="B470" s="487"/>
      <c r="C470" s="487"/>
      <c r="D470" s="487"/>
      <c r="E470" s="487"/>
      <c r="F470" s="400"/>
      <c r="G470" s="399"/>
      <c r="H470" s="399"/>
      <c r="I470" s="644"/>
      <c r="J470" s="488"/>
      <c r="K470" s="503"/>
      <c r="M470"/>
      <c r="N470"/>
      <c r="O470"/>
      <c r="P470"/>
      <c r="Q470"/>
      <c r="R470"/>
      <c r="S470"/>
      <c r="T470"/>
      <c r="U470"/>
      <c r="V470"/>
      <c r="W470"/>
      <c r="X470"/>
      <c r="Y470"/>
    </row>
    <row r="471" spans="1:25" s="786" customFormat="1" ht="15.75" thickTop="1">
      <c r="A471" s="308"/>
      <c r="B471" s="308"/>
      <c r="C471" s="308"/>
      <c r="D471" s="308"/>
      <c r="E471" s="308"/>
      <c r="F471" s="308"/>
      <c r="G471" s="251"/>
      <c r="H471" s="251"/>
      <c r="I471" s="658"/>
      <c r="J471" s="308"/>
      <c r="K471" s="619"/>
      <c r="M471"/>
      <c r="N471"/>
      <c r="O471"/>
      <c r="P471"/>
      <c r="Q471"/>
      <c r="R471"/>
      <c r="S471"/>
      <c r="T471"/>
      <c r="U471"/>
      <c r="V471"/>
      <c r="W471"/>
      <c r="X471"/>
      <c r="Y471"/>
    </row>
    <row r="472" spans="1:25" s="786" customFormat="1">
      <c r="A472" s="308"/>
      <c r="B472" s="308"/>
      <c r="C472" s="308"/>
      <c r="D472" s="308"/>
      <c r="E472" s="308"/>
      <c r="F472" s="308"/>
      <c r="G472" s="251"/>
      <c r="H472" s="251"/>
      <c r="I472" s="658"/>
      <c r="J472" s="308"/>
      <c r="K472" s="619"/>
      <c r="M472"/>
      <c r="N472"/>
      <c r="O472"/>
      <c r="P472"/>
      <c r="Q472"/>
      <c r="R472"/>
      <c r="S472"/>
      <c r="T472"/>
      <c r="U472"/>
      <c r="V472"/>
      <c r="W472"/>
      <c r="X472"/>
      <c r="Y472"/>
    </row>
  </sheetData>
  <mergeCells count="417">
    <mergeCell ref="A8:J8"/>
    <mergeCell ref="A9:J11"/>
    <mergeCell ref="A12:J12"/>
    <mergeCell ref="A13:J13"/>
    <mergeCell ref="A14:J14"/>
    <mergeCell ref="A15:J15"/>
    <mergeCell ref="A23:B23"/>
    <mergeCell ref="C23:D23"/>
    <mergeCell ref="E23:G23"/>
    <mergeCell ref="H23:J23"/>
    <mergeCell ref="A25:J25"/>
    <mergeCell ref="A26:F26"/>
    <mergeCell ref="G26:H26"/>
    <mergeCell ref="I26:J26"/>
    <mergeCell ref="A17:J17"/>
    <mergeCell ref="A18:J18"/>
    <mergeCell ref="A20:J20"/>
    <mergeCell ref="A21:J21"/>
    <mergeCell ref="A22:C22"/>
    <mergeCell ref="D22:H22"/>
    <mergeCell ref="I22:J22"/>
    <mergeCell ref="A32:D32"/>
    <mergeCell ref="E32:G32"/>
    <mergeCell ref="H32:J32"/>
    <mergeCell ref="C33:D33"/>
    <mergeCell ref="E33:F33"/>
    <mergeCell ref="G33:J33"/>
    <mergeCell ref="A27:F27"/>
    <mergeCell ref="G27:J27"/>
    <mergeCell ref="A28:F28"/>
    <mergeCell ref="G28:J28"/>
    <mergeCell ref="A30:J30"/>
    <mergeCell ref="A31:F31"/>
    <mergeCell ref="G31:H31"/>
    <mergeCell ref="I31:J31"/>
    <mergeCell ref="A42:J42"/>
    <mergeCell ref="A43:J43"/>
    <mergeCell ref="A44:C44"/>
    <mergeCell ref="A45:A46"/>
    <mergeCell ref="B45:C45"/>
    <mergeCell ref="D45:J45"/>
    <mergeCell ref="B46:C46"/>
    <mergeCell ref="D46:J46"/>
    <mergeCell ref="A35:J35"/>
    <mergeCell ref="A36:J36"/>
    <mergeCell ref="A37:J37"/>
    <mergeCell ref="A39:J39"/>
    <mergeCell ref="A40:J40"/>
    <mergeCell ref="A41:J41"/>
    <mergeCell ref="B51:C51"/>
    <mergeCell ref="D51:J51"/>
    <mergeCell ref="B52:C52"/>
    <mergeCell ref="D52:J52"/>
    <mergeCell ref="B53:C53"/>
    <mergeCell ref="D53:J53"/>
    <mergeCell ref="A47:J47"/>
    <mergeCell ref="B48:C48"/>
    <mergeCell ref="D48:J48"/>
    <mergeCell ref="B49:C49"/>
    <mergeCell ref="D49:J49"/>
    <mergeCell ref="B50:C50"/>
    <mergeCell ref="D50:J50"/>
    <mergeCell ref="B61:C61"/>
    <mergeCell ref="D61:J61"/>
    <mergeCell ref="B62:C62"/>
    <mergeCell ref="D62:J62"/>
    <mergeCell ref="B63:C63"/>
    <mergeCell ref="D63:J63"/>
    <mergeCell ref="B57:C57"/>
    <mergeCell ref="B58:C58"/>
    <mergeCell ref="D58:J58"/>
    <mergeCell ref="B59:C59"/>
    <mergeCell ref="D59:J59"/>
    <mergeCell ref="B60:C60"/>
    <mergeCell ref="D60:J60"/>
    <mergeCell ref="B74:C74"/>
    <mergeCell ref="D74:J74"/>
    <mergeCell ref="B75:C75"/>
    <mergeCell ref="D75:J75"/>
    <mergeCell ref="B76:C76"/>
    <mergeCell ref="D76:J76"/>
    <mergeCell ref="B64:C64"/>
    <mergeCell ref="D64:J64"/>
    <mergeCell ref="B72:C72"/>
    <mergeCell ref="D72:J72"/>
    <mergeCell ref="B73:C73"/>
    <mergeCell ref="D73:J73"/>
    <mergeCell ref="B80:C80"/>
    <mergeCell ref="D80:J80"/>
    <mergeCell ref="B81:C81"/>
    <mergeCell ref="D81:J81"/>
    <mergeCell ref="B82:C82"/>
    <mergeCell ref="D82:J82"/>
    <mergeCell ref="B77:C77"/>
    <mergeCell ref="D77:J77"/>
    <mergeCell ref="B78:C78"/>
    <mergeCell ref="D78:J78"/>
    <mergeCell ref="B79:C79"/>
    <mergeCell ref="D79:J79"/>
    <mergeCell ref="B89:C89"/>
    <mergeCell ref="D89:J89"/>
    <mergeCell ref="B90:C90"/>
    <mergeCell ref="D90:J90"/>
    <mergeCell ref="B91:C91"/>
    <mergeCell ref="D91:J91"/>
    <mergeCell ref="A85:J85"/>
    <mergeCell ref="B86:C86"/>
    <mergeCell ref="D86:J86"/>
    <mergeCell ref="B87:C87"/>
    <mergeCell ref="D87:J87"/>
    <mergeCell ref="B88:C88"/>
    <mergeCell ref="D88:J88"/>
    <mergeCell ref="B95:C95"/>
    <mergeCell ref="D95:J95"/>
    <mergeCell ref="B96:C96"/>
    <mergeCell ref="D96:J96"/>
    <mergeCell ref="B97:C97"/>
    <mergeCell ref="D97:J97"/>
    <mergeCell ref="B92:C92"/>
    <mergeCell ref="D92:J92"/>
    <mergeCell ref="B93:C93"/>
    <mergeCell ref="D93:J93"/>
    <mergeCell ref="B94:C94"/>
    <mergeCell ref="D94:J94"/>
    <mergeCell ref="B104:C104"/>
    <mergeCell ref="D104:J104"/>
    <mergeCell ref="B105:C105"/>
    <mergeCell ref="D105:J105"/>
    <mergeCell ref="B106:C106"/>
    <mergeCell ref="D106:J106"/>
    <mergeCell ref="B98:C98"/>
    <mergeCell ref="D98:J98"/>
    <mergeCell ref="B99:C99"/>
    <mergeCell ref="D99:J99"/>
    <mergeCell ref="B103:C103"/>
    <mergeCell ref="D103:J103"/>
    <mergeCell ref="B110:C110"/>
    <mergeCell ref="D110:J110"/>
    <mergeCell ref="B111:C111"/>
    <mergeCell ref="D111:J111"/>
    <mergeCell ref="B112:C112"/>
    <mergeCell ref="D112:J112"/>
    <mergeCell ref="B107:C107"/>
    <mergeCell ref="D107:J107"/>
    <mergeCell ref="B108:C108"/>
    <mergeCell ref="D108:J108"/>
    <mergeCell ref="B109:C109"/>
    <mergeCell ref="D109:J109"/>
    <mergeCell ref="B122:C122"/>
    <mergeCell ref="D122:J122"/>
    <mergeCell ref="A126:J126"/>
    <mergeCell ref="B127:C127"/>
    <mergeCell ref="D127:J127"/>
    <mergeCell ref="B128:C128"/>
    <mergeCell ref="D128:J128"/>
    <mergeCell ref="B119:C119"/>
    <mergeCell ref="D119:J119"/>
    <mergeCell ref="B120:C120"/>
    <mergeCell ref="D120:J120"/>
    <mergeCell ref="B121:C121"/>
    <mergeCell ref="D121:J121"/>
    <mergeCell ref="A137:J137"/>
    <mergeCell ref="A138:J138"/>
    <mergeCell ref="A139:J139"/>
    <mergeCell ref="A140:J140"/>
    <mergeCell ref="A141:A142"/>
    <mergeCell ref="B141:F142"/>
    <mergeCell ref="B129:C129"/>
    <mergeCell ref="D129:J129"/>
    <mergeCell ref="B130:C130"/>
    <mergeCell ref="D130:J130"/>
    <mergeCell ref="A135:J135"/>
    <mergeCell ref="A136:J136"/>
    <mergeCell ref="B149:F149"/>
    <mergeCell ref="B150:F150"/>
    <mergeCell ref="B151:F151"/>
    <mergeCell ref="B152:F152"/>
    <mergeCell ref="K152:K155"/>
    <mergeCell ref="B153:F153"/>
    <mergeCell ref="B154:F154"/>
    <mergeCell ref="B155:F155"/>
    <mergeCell ref="B143:F143"/>
    <mergeCell ref="B144:F144"/>
    <mergeCell ref="B145:F145"/>
    <mergeCell ref="B146:F146"/>
    <mergeCell ref="B147:F147"/>
    <mergeCell ref="B148:F148"/>
    <mergeCell ref="B157:F157"/>
    <mergeCell ref="B158:F158"/>
    <mergeCell ref="B159:F159"/>
    <mergeCell ref="B160:F160"/>
    <mergeCell ref="B161:F161"/>
    <mergeCell ref="K161:K165"/>
    <mergeCell ref="B162:F162"/>
    <mergeCell ref="B163:F163"/>
    <mergeCell ref="B164:F164"/>
    <mergeCell ref="B165:F165"/>
    <mergeCell ref="B173:F173"/>
    <mergeCell ref="B174:F174"/>
    <mergeCell ref="B175:F175"/>
    <mergeCell ref="B176:F176"/>
    <mergeCell ref="B177:F177"/>
    <mergeCell ref="B178:F178"/>
    <mergeCell ref="B166:F166"/>
    <mergeCell ref="B168:F168"/>
    <mergeCell ref="B169:F169"/>
    <mergeCell ref="B170:F170"/>
    <mergeCell ref="B171:F171"/>
    <mergeCell ref="B172:F172"/>
    <mergeCell ref="B190:F190"/>
    <mergeCell ref="B191:F191"/>
    <mergeCell ref="K191:K196"/>
    <mergeCell ref="B192:F192"/>
    <mergeCell ref="B199:F199"/>
    <mergeCell ref="B200:F200"/>
    <mergeCell ref="B179:F179"/>
    <mergeCell ref="B181:F181"/>
    <mergeCell ref="B182:F182"/>
    <mergeCell ref="B186:F186"/>
    <mergeCell ref="B187:F187"/>
    <mergeCell ref="B188:F188"/>
    <mergeCell ref="K207:K209"/>
    <mergeCell ref="B208:F208"/>
    <mergeCell ref="B209:F209"/>
    <mergeCell ref="B211:F211"/>
    <mergeCell ref="B212:F212"/>
    <mergeCell ref="B214:F214"/>
    <mergeCell ref="B201:F201"/>
    <mergeCell ref="B202:F202"/>
    <mergeCell ref="B203:F203"/>
    <mergeCell ref="B204:F204"/>
    <mergeCell ref="B206:F206"/>
    <mergeCell ref="B207:F207"/>
    <mergeCell ref="K215:K217"/>
    <mergeCell ref="B217:F217"/>
    <mergeCell ref="B219:F219"/>
    <mergeCell ref="B220:F220"/>
    <mergeCell ref="K220:K224"/>
    <mergeCell ref="B221:F221"/>
    <mergeCell ref="B222:F222"/>
    <mergeCell ref="B223:F223"/>
    <mergeCell ref="B224:F224"/>
    <mergeCell ref="B232:F232"/>
    <mergeCell ref="B233:F233"/>
    <mergeCell ref="B234:F234"/>
    <mergeCell ref="B235:F235"/>
    <mergeCell ref="B236:F236"/>
    <mergeCell ref="B237:F237"/>
    <mergeCell ref="B226:F226"/>
    <mergeCell ref="B227:F227"/>
    <mergeCell ref="B228:F228"/>
    <mergeCell ref="B229:F229"/>
    <mergeCell ref="B230:F230"/>
    <mergeCell ref="B231:F231"/>
    <mergeCell ref="K244:K250"/>
    <mergeCell ref="B245:F245"/>
    <mergeCell ref="B246:F246"/>
    <mergeCell ref="B247:F247"/>
    <mergeCell ref="B248:F248"/>
    <mergeCell ref="B249:F249"/>
    <mergeCell ref="B250:F250"/>
    <mergeCell ref="B238:F238"/>
    <mergeCell ref="B239:F239"/>
    <mergeCell ref="B240:F240"/>
    <mergeCell ref="B241:F241"/>
    <mergeCell ref="B243:F243"/>
    <mergeCell ref="B244:F244"/>
    <mergeCell ref="B258:F258"/>
    <mergeCell ref="B259:F259"/>
    <mergeCell ref="B260:F260"/>
    <mergeCell ref="B261:F261"/>
    <mergeCell ref="B262:F262"/>
    <mergeCell ref="B263:F263"/>
    <mergeCell ref="B253:F253"/>
    <mergeCell ref="B254:F254"/>
    <mergeCell ref="K254:K256"/>
    <mergeCell ref="B255:F255"/>
    <mergeCell ref="B256:F256"/>
    <mergeCell ref="B257:F257"/>
    <mergeCell ref="B272:F272"/>
    <mergeCell ref="B273:F273"/>
    <mergeCell ref="B274:F274"/>
    <mergeCell ref="B275:F275"/>
    <mergeCell ref="B276:F276"/>
    <mergeCell ref="B277:F277"/>
    <mergeCell ref="B264:F264"/>
    <mergeCell ref="B266:F266"/>
    <mergeCell ref="B267:F267"/>
    <mergeCell ref="B268:F268"/>
    <mergeCell ref="B270:F270"/>
    <mergeCell ref="B271:F271"/>
    <mergeCell ref="B287:F287"/>
    <mergeCell ref="B288:F288"/>
    <mergeCell ref="B289:F289"/>
    <mergeCell ref="B290:F290"/>
    <mergeCell ref="B292:F292"/>
    <mergeCell ref="B293:F293"/>
    <mergeCell ref="B278:F278"/>
    <mergeCell ref="B279:F279"/>
    <mergeCell ref="B280:F280"/>
    <mergeCell ref="A284:J284"/>
    <mergeCell ref="B285:F285"/>
    <mergeCell ref="B286:F286"/>
    <mergeCell ref="B305:F305"/>
    <mergeCell ref="A310:H310"/>
    <mergeCell ref="A311:H311"/>
    <mergeCell ref="A313:H313"/>
    <mergeCell ref="I313:J313"/>
    <mergeCell ref="A314:H314"/>
    <mergeCell ref="B294:F294"/>
    <mergeCell ref="B295:F295"/>
    <mergeCell ref="B296:F296"/>
    <mergeCell ref="B297:F297"/>
    <mergeCell ref="B298:F298"/>
    <mergeCell ref="B300:F300"/>
    <mergeCell ref="A312:H312"/>
    <mergeCell ref="A322:J322"/>
    <mergeCell ref="B323:E323"/>
    <mergeCell ref="B324:E324"/>
    <mergeCell ref="B325:E325"/>
    <mergeCell ref="B326:E326"/>
    <mergeCell ref="B327:E327"/>
    <mergeCell ref="A315:H315"/>
    <mergeCell ref="A316:C316"/>
    <mergeCell ref="D316:J316"/>
    <mergeCell ref="A318:J318"/>
    <mergeCell ref="A319:J319"/>
    <mergeCell ref="A320:A321"/>
    <mergeCell ref="B320:E321"/>
    <mergeCell ref="F320:F321"/>
    <mergeCell ref="G320:H320"/>
    <mergeCell ref="J320:J321"/>
    <mergeCell ref="B336:E336"/>
    <mergeCell ref="B337:E337"/>
    <mergeCell ref="B338:E338"/>
    <mergeCell ref="B339:E339"/>
    <mergeCell ref="B340:E340"/>
    <mergeCell ref="B341:E341"/>
    <mergeCell ref="B328:E328"/>
    <mergeCell ref="B331:E331"/>
    <mergeCell ref="B332:E332"/>
    <mergeCell ref="B333:E333"/>
    <mergeCell ref="B334:E334"/>
    <mergeCell ref="B335:E335"/>
    <mergeCell ref="A352:J352"/>
    <mergeCell ref="A353:E353"/>
    <mergeCell ref="F353:J353"/>
    <mergeCell ref="A354:E354"/>
    <mergeCell ref="F354:J354"/>
    <mergeCell ref="A355:E355"/>
    <mergeCell ref="F355:J355"/>
    <mergeCell ref="B344:E344"/>
    <mergeCell ref="B345:E345"/>
    <mergeCell ref="B346:E346"/>
    <mergeCell ref="B347:E347"/>
    <mergeCell ref="A349:F349"/>
    <mergeCell ref="A350:F350"/>
    <mergeCell ref="A359:E359"/>
    <mergeCell ref="F359:J359"/>
    <mergeCell ref="A361:J361"/>
    <mergeCell ref="A366:J366"/>
    <mergeCell ref="A367:J367"/>
    <mergeCell ref="A369:J369"/>
    <mergeCell ref="A356:E356"/>
    <mergeCell ref="F356:J356"/>
    <mergeCell ref="A357:E357"/>
    <mergeCell ref="F357:J357"/>
    <mergeCell ref="A358:E358"/>
    <mergeCell ref="F358:J358"/>
    <mergeCell ref="A383:E383"/>
    <mergeCell ref="F383:J383"/>
    <mergeCell ref="A384:E384"/>
    <mergeCell ref="F384:J384"/>
    <mergeCell ref="A418:J418"/>
    <mergeCell ref="B419:F419"/>
    <mergeCell ref="A370:J370"/>
    <mergeCell ref="A371:J371"/>
    <mergeCell ref="A373:J373"/>
    <mergeCell ref="A374:J374"/>
    <mergeCell ref="A382:E382"/>
    <mergeCell ref="F382:J382"/>
    <mergeCell ref="B426:F426"/>
    <mergeCell ref="B427:F427"/>
    <mergeCell ref="B428:F428"/>
    <mergeCell ref="B429:F429"/>
    <mergeCell ref="B431:F431"/>
    <mergeCell ref="B432:F432"/>
    <mergeCell ref="B420:F420"/>
    <mergeCell ref="B421:F421"/>
    <mergeCell ref="B422:F422"/>
    <mergeCell ref="B423:F423"/>
    <mergeCell ref="B424:F424"/>
    <mergeCell ref="B425:F425"/>
    <mergeCell ref="B439:F439"/>
    <mergeCell ref="B440:F440"/>
    <mergeCell ref="B441:F441"/>
    <mergeCell ref="B442:F442"/>
    <mergeCell ref="B443:F443"/>
    <mergeCell ref="B444:F444"/>
    <mergeCell ref="B433:F433"/>
    <mergeCell ref="B434:F434"/>
    <mergeCell ref="B435:F435"/>
    <mergeCell ref="B436:F436"/>
    <mergeCell ref="B437:F437"/>
    <mergeCell ref="B438:F438"/>
    <mergeCell ref="A467:E467"/>
    <mergeCell ref="F467:J467"/>
    <mergeCell ref="A468:E468"/>
    <mergeCell ref="F468:J468"/>
    <mergeCell ref="A469:E469"/>
    <mergeCell ref="F469:J469"/>
    <mergeCell ref="B448:F448"/>
    <mergeCell ref="B449:F449"/>
    <mergeCell ref="B455:F455"/>
    <mergeCell ref="B458:F458"/>
    <mergeCell ref="A461:H461"/>
    <mergeCell ref="A462:J462"/>
  </mergeCells>
  <hyperlinks>
    <hyperlink ref="G28" r:id="rId1"/>
  </hyperlinks>
  <pageMargins left="0.78740157480314965" right="0.74803149606299213" top="0.19685039370078741" bottom="1.0629921259842521" header="0.31496062992125984" footer="0.31496062992125984"/>
  <pageSetup paperSize="9" scale="53" orientation="portrait" verticalDpi="4294967293" r:id="rId2"/>
  <headerFooter>
    <oddFooter>&amp;R&amp;G</oddFooter>
  </headerFooter>
  <rowBreaks count="1" manualBreakCount="1">
    <brk id="417" max="16383" man="1"/>
  </rowBreaks>
  <drawing r:id="rId3"/>
  <legacyDrawingHF r:id="rId4"/>
</worksheet>
</file>

<file path=xl/worksheets/sheet4.xml><?xml version="1.0" encoding="utf-8"?>
<worksheet xmlns="http://schemas.openxmlformats.org/spreadsheetml/2006/main" xmlns:r="http://schemas.openxmlformats.org/officeDocument/2006/relationships">
  <dimension ref="A1:Y472"/>
  <sheetViews>
    <sheetView view="pageBreakPreview" topLeftCell="A342" zoomScale="110" zoomScaleNormal="110" zoomScaleSheetLayoutView="110" workbookViewId="0">
      <selection activeCell="M356" sqref="M356"/>
    </sheetView>
  </sheetViews>
  <sheetFormatPr defaultRowHeight="15"/>
  <cols>
    <col min="1" max="1" width="5.85546875" style="309" customWidth="1"/>
    <col min="2" max="2" width="10.5703125" style="309" customWidth="1"/>
    <col min="3" max="3" width="17" style="309" customWidth="1"/>
    <col min="4" max="4" width="9.140625" style="309"/>
    <col min="5" max="5" width="15" style="309" customWidth="1"/>
    <col min="6" max="6" width="7.7109375" style="309" customWidth="1"/>
    <col min="7" max="7" width="11.85546875" style="57" customWidth="1"/>
    <col min="8" max="8" width="10.42578125" style="57" customWidth="1"/>
    <col min="9" max="9" width="13.85546875" style="625" customWidth="1"/>
    <col min="10" max="10" width="13.28515625" style="309" customWidth="1"/>
    <col min="11" max="11" width="23.42578125" style="602" customWidth="1"/>
    <col min="12" max="12" width="15.7109375" style="786" customWidth="1"/>
    <col min="13" max="13" width="14.5703125" customWidth="1"/>
    <col min="14" max="14" width="12.5703125" bestFit="1" customWidth="1"/>
    <col min="15" max="15" width="10.5703125" customWidth="1"/>
  </cols>
  <sheetData>
    <row r="1" spans="1:25" ht="8.4499999999999993" customHeight="1"/>
    <row r="2" spans="1:25" s="545" customFormat="1" ht="22.15" customHeight="1">
      <c r="A2" s="544"/>
      <c r="D2" s="546"/>
      <c r="E2" s="546"/>
      <c r="F2" s="546"/>
      <c r="G2" s="546"/>
      <c r="H2" s="546"/>
      <c r="I2" s="626"/>
      <c r="J2" s="547" t="s">
        <v>428</v>
      </c>
      <c r="K2" s="603"/>
      <c r="L2" s="787"/>
      <c r="M2" s="546"/>
      <c r="N2" s="546"/>
      <c r="O2" s="546"/>
      <c r="P2" s="546"/>
      <c r="Q2" s="546"/>
      <c r="R2" s="546"/>
      <c r="S2" s="546"/>
      <c r="T2" s="546"/>
      <c r="U2" s="546"/>
      <c r="V2" s="546"/>
      <c r="W2" s="546"/>
      <c r="X2" s="546"/>
      <c r="Y2" s="546"/>
    </row>
    <row r="3" spans="1:25" s="545" customFormat="1" ht="22.15" customHeight="1">
      <c r="A3" s="544"/>
      <c r="D3" s="546"/>
      <c r="E3" s="546"/>
      <c r="F3" s="546"/>
      <c r="G3" s="546"/>
      <c r="H3" s="546"/>
      <c r="I3" s="626"/>
      <c r="J3" s="547" t="s">
        <v>429</v>
      </c>
      <c r="K3" s="603"/>
      <c r="L3" s="787"/>
      <c r="M3" s="546"/>
      <c r="N3" s="546"/>
      <c r="O3" s="546"/>
      <c r="P3" s="546"/>
      <c r="Q3" s="546"/>
      <c r="R3" s="546"/>
      <c r="S3" s="546"/>
      <c r="T3" s="546"/>
      <c r="U3" s="546"/>
      <c r="V3" s="546"/>
      <c r="W3" s="546"/>
      <c r="X3" s="546"/>
      <c r="Y3" s="546"/>
    </row>
    <row r="4" spans="1:25" s="545" customFormat="1" ht="22.15" customHeight="1">
      <c r="A4" s="544"/>
      <c r="D4" s="546"/>
      <c r="E4" s="546"/>
      <c r="F4" s="546"/>
      <c r="G4" s="546"/>
      <c r="H4" s="546"/>
      <c r="I4" s="626"/>
      <c r="J4" s="547" t="s">
        <v>430</v>
      </c>
      <c r="K4" s="603"/>
      <c r="L4" s="787"/>
      <c r="M4" s="546"/>
      <c r="N4" s="546"/>
      <c r="O4" s="546"/>
      <c r="P4" s="546"/>
      <c r="Q4" s="546"/>
      <c r="R4" s="546"/>
      <c r="S4" s="546"/>
      <c r="T4" s="546"/>
      <c r="U4" s="546"/>
      <c r="V4" s="546"/>
      <c r="W4" s="546"/>
      <c r="X4" s="546"/>
      <c r="Y4" s="546"/>
    </row>
    <row r="5" spans="1:25" s="545" customFormat="1" ht="18" customHeight="1">
      <c r="A5" s="544"/>
      <c r="D5" s="546"/>
      <c r="E5" s="546"/>
      <c r="F5" s="546"/>
      <c r="G5" s="546"/>
      <c r="H5" s="546"/>
      <c r="I5" s="626"/>
      <c r="J5" s="548"/>
      <c r="K5" s="604"/>
      <c r="L5" s="787"/>
      <c r="M5" s="546"/>
      <c r="N5" s="546"/>
      <c r="O5" s="546"/>
      <c r="P5" s="546"/>
      <c r="Q5" s="546"/>
      <c r="R5" s="546"/>
      <c r="S5" s="546"/>
      <c r="T5" s="546"/>
      <c r="U5" s="546"/>
      <c r="V5" s="546"/>
      <c r="W5" s="546"/>
      <c r="X5" s="546"/>
      <c r="Y5" s="546"/>
    </row>
    <row r="6" spans="1:25" s="545" customFormat="1" ht="10.9" customHeight="1" thickBot="1">
      <c r="A6" s="544"/>
      <c r="D6" s="546"/>
      <c r="E6" s="546"/>
      <c r="F6" s="546"/>
      <c r="G6" s="546"/>
      <c r="H6" s="546"/>
      <c r="I6" s="626"/>
      <c r="J6" s="548"/>
      <c r="K6" s="604"/>
      <c r="L6" s="787"/>
      <c r="M6" s="546"/>
      <c r="N6" s="546"/>
      <c r="O6" s="546"/>
      <c r="P6" s="546"/>
      <c r="Q6" s="546"/>
      <c r="R6" s="546"/>
      <c r="S6" s="546"/>
      <c r="T6" s="546"/>
      <c r="U6" s="546"/>
      <c r="V6" s="546"/>
      <c r="W6" s="546"/>
      <c r="X6" s="546"/>
      <c r="Y6" s="546"/>
    </row>
    <row r="7" spans="1:25" s="11" customFormat="1" ht="9.75" customHeight="1" thickTop="1">
      <c r="A7" s="345"/>
      <c r="B7" s="346"/>
      <c r="C7" s="346"/>
      <c r="D7" s="346"/>
      <c r="E7" s="346"/>
      <c r="F7" s="346"/>
      <c r="G7" s="347"/>
      <c r="H7" s="347"/>
      <c r="I7" s="627"/>
      <c r="J7" s="349"/>
      <c r="K7" s="605"/>
      <c r="L7" s="788"/>
    </row>
    <row r="8" spans="1:25" s="11" customFormat="1">
      <c r="A8" s="1377" t="s">
        <v>213</v>
      </c>
      <c r="B8" s="1378"/>
      <c r="C8" s="1378"/>
      <c r="D8" s="1378"/>
      <c r="E8" s="1378"/>
      <c r="F8" s="1378"/>
      <c r="G8" s="1378"/>
      <c r="H8" s="1378"/>
      <c r="I8" s="1378"/>
      <c r="J8" s="1379"/>
      <c r="K8" s="503" t="s">
        <v>524</v>
      </c>
      <c r="L8" s="788"/>
    </row>
    <row r="9" spans="1:25" s="11" customFormat="1" ht="20.25" customHeight="1">
      <c r="A9" s="1307" t="s">
        <v>308</v>
      </c>
      <c r="B9" s="1308"/>
      <c r="C9" s="1308"/>
      <c r="D9" s="1308"/>
      <c r="E9" s="1308"/>
      <c r="F9" s="1308"/>
      <c r="G9" s="1308"/>
      <c r="H9" s="1308"/>
      <c r="I9" s="1308"/>
      <c r="J9" s="1309"/>
      <c r="K9" s="501" t="s">
        <v>524</v>
      </c>
      <c r="L9" s="788"/>
    </row>
    <row r="10" spans="1:25" s="11" customFormat="1" ht="12" customHeight="1">
      <c r="A10" s="1307"/>
      <c r="B10" s="1308"/>
      <c r="C10" s="1308"/>
      <c r="D10" s="1308"/>
      <c r="E10" s="1308"/>
      <c r="F10" s="1308"/>
      <c r="G10" s="1308"/>
      <c r="H10" s="1308"/>
      <c r="I10" s="1308"/>
      <c r="J10" s="1309"/>
      <c r="K10" s="501" t="s">
        <v>524</v>
      </c>
      <c r="L10" s="788"/>
    </row>
    <row r="11" spans="1:25" s="11" customFormat="1" ht="11.25" customHeight="1">
      <c r="A11" s="1307"/>
      <c r="B11" s="1308"/>
      <c r="C11" s="1308"/>
      <c r="D11" s="1308"/>
      <c r="E11" s="1308"/>
      <c r="F11" s="1308"/>
      <c r="G11" s="1308"/>
      <c r="H11" s="1308"/>
      <c r="I11" s="1308"/>
      <c r="J11" s="1309"/>
      <c r="K11" s="501" t="s">
        <v>524</v>
      </c>
      <c r="L11" s="788"/>
    </row>
    <row r="12" spans="1:25" s="11" customFormat="1" ht="17.25" customHeight="1">
      <c r="A12" s="1377" t="s">
        <v>214</v>
      </c>
      <c r="B12" s="1378"/>
      <c r="C12" s="1378"/>
      <c r="D12" s="1378"/>
      <c r="E12" s="1378"/>
      <c r="F12" s="1378"/>
      <c r="G12" s="1378"/>
      <c r="H12" s="1378"/>
      <c r="I12" s="1378"/>
      <c r="J12" s="1379"/>
      <c r="K12" s="503" t="s">
        <v>524</v>
      </c>
      <c r="L12" s="788"/>
    </row>
    <row r="13" spans="1:25" s="11" customFormat="1" ht="12.75" customHeight="1">
      <c r="A13" s="1377" t="s">
        <v>310</v>
      </c>
      <c r="B13" s="1378"/>
      <c r="C13" s="1378"/>
      <c r="D13" s="1378"/>
      <c r="E13" s="1378"/>
      <c r="F13" s="1378"/>
      <c r="G13" s="1378"/>
      <c r="H13" s="1378"/>
      <c r="I13" s="1378"/>
      <c r="J13" s="1379"/>
      <c r="K13" s="503" t="s">
        <v>524</v>
      </c>
      <c r="L13" s="788"/>
    </row>
    <row r="14" spans="1:25" s="11" customFormat="1" ht="16.5" customHeight="1">
      <c r="A14" s="1377" t="s">
        <v>215</v>
      </c>
      <c r="B14" s="1378"/>
      <c r="C14" s="1378"/>
      <c r="D14" s="1378"/>
      <c r="E14" s="1378"/>
      <c r="F14" s="1378"/>
      <c r="G14" s="1378"/>
      <c r="H14" s="1378"/>
      <c r="I14" s="1378"/>
      <c r="J14" s="1379"/>
      <c r="K14" s="503" t="s">
        <v>524</v>
      </c>
      <c r="L14" s="788"/>
    </row>
    <row r="15" spans="1:25" s="11" customFormat="1">
      <c r="A15" s="1377" t="s">
        <v>309</v>
      </c>
      <c r="B15" s="1378"/>
      <c r="C15" s="1378"/>
      <c r="D15" s="1378"/>
      <c r="E15" s="1378"/>
      <c r="F15" s="1378"/>
      <c r="G15" s="1378"/>
      <c r="H15" s="1378"/>
      <c r="I15" s="1378"/>
      <c r="J15" s="1379"/>
      <c r="K15" s="503" t="s">
        <v>524</v>
      </c>
      <c r="L15" s="788"/>
    </row>
    <row r="16" spans="1:25" s="11" customFormat="1" ht="11.25" customHeight="1">
      <c r="A16" s="350"/>
      <c r="B16" s="286"/>
      <c r="C16" s="286"/>
      <c r="D16" s="286"/>
      <c r="E16" s="286"/>
      <c r="F16" s="286"/>
      <c r="G16" s="175"/>
      <c r="H16" s="175"/>
      <c r="I16" s="628"/>
      <c r="J16" s="351"/>
      <c r="K16" s="605"/>
      <c r="L16" s="788"/>
    </row>
    <row r="17" spans="1:12" s="16" customFormat="1" ht="15" customHeight="1">
      <c r="A17" s="1628" t="s">
        <v>371</v>
      </c>
      <c r="B17" s="1629"/>
      <c r="C17" s="1629"/>
      <c r="D17" s="1629"/>
      <c r="E17" s="1629"/>
      <c r="F17" s="1629"/>
      <c r="G17" s="1629"/>
      <c r="H17" s="1629"/>
      <c r="I17" s="1629"/>
      <c r="J17" s="1702"/>
      <c r="K17" s="606"/>
      <c r="L17" s="789"/>
    </row>
    <row r="18" spans="1:12" s="16" customFormat="1" ht="15" customHeight="1">
      <c r="A18" s="1409" t="s">
        <v>216</v>
      </c>
      <c r="B18" s="1410"/>
      <c r="C18" s="1410"/>
      <c r="D18" s="1410"/>
      <c r="E18" s="1410"/>
      <c r="F18" s="1410"/>
      <c r="G18" s="1410"/>
      <c r="H18" s="1410"/>
      <c r="I18" s="1410"/>
      <c r="J18" s="1411"/>
      <c r="K18" s="607"/>
      <c r="L18" s="789"/>
    </row>
    <row r="19" spans="1:12" s="16" customFormat="1" ht="9.75" customHeight="1">
      <c r="A19" s="350"/>
      <c r="B19" s="286"/>
      <c r="C19" s="286"/>
      <c r="D19" s="286"/>
      <c r="E19" s="286"/>
      <c r="F19" s="286"/>
      <c r="G19" s="175"/>
      <c r="H19" s="175"/>
      <c r="I19" s="628"/>
      <c r="J19" s="351"/>
      <c r="K19" s="605"/>
      <c r="L19" s="789"/>
    </row>
    <row r="20" spans="1:12" s="16" customFormat="1" ht="15" customHeight="1">
      <c r="A20" s="1696" t="s">
        <v>0</v>
      </c>
      <c r="B20" s="1697"/>
      <c r="C20" s="1697"/>
      <c r="D20" s="1697"/>
      <c r="E20" s="1697"/>
      <c r="F20" s="1697"/>
      <c r="G20" s="1697"/>
      <c r="H20" s="1697"/>
      <c r="I20" s="1697"/>
      <c r="J20" s="1698"/>
      <c r="K20" s="606"/>
      <c r="L20" s="789"/>
    </row>
    <row r="21" spans="1:12" s="16" customFormat="1" ht="15" customHeight="1">
      <c r="A21" s="1399" t="s">
        <v>217</v>
      </c>
      <c r="B21" s="1295"/>
      <c r="C21" s="1295"/>
      <c r="D21" s="1295"/>
      <c r="E21" s="1295"/>
      <c r="F21" s="1295"/>
      <c r="G21" s="1295"/>
      <c r="H21" s="1295"/>
      <c r="I21" s="1295"/>
      <c r="J21" s="1296"/>
      <c r="K21" s="608"/>
      <c r="L21" s="789"/>
    </row>
    <row r="22" spans="1:12" s="16" customFormat="1" ht="15" customHeight="1">
      <c r="A22" s="1399" t="s">
        <v>218</v>
      </c>
      <c r="B22" s="1295"/>
      <c r="C22" s="1295"/>
      <c r="D22" s="1295" t="s">
        <v>219</v>
      </c>
      <c r="E22" s="1295"/>
      <c r="F22" s="1295"/>
      <c r="G22" s="1295"/>
      <c r="H22" s="1295"/>
      <c r="I22" s="1295" t="s">
        <v>220</v>
      </c>
      <c r="J22" s="1296"/>
      <c r="K22" s="608"/>
      <c r="L22" s="789"/>
    </row>
    <row r="23" spans="1:12" s="16" customFormat="1" ht="15" customHeight="1">
      <c r="A23" s="1399" t="s">
        <v>221</v>
      </c>
      <c r="B23" s="1295"/>
      <c r="C23" s="1295" t="s">
        <v>222</v>
      </c>
      <c r="D23" s="1295"/>
      <c r="E23" s="1295" t="s">
        <v>223</v>
      </c>
      <c r="F23" s="1295"/>
      <c r="G23" s="1295"/>
      <c r="H23" s="1291" t="s">
        <v>224</v>
      </c>
      <c r="I23" s="1292"/>
      <c r="J23" s="1293"/>
      <c r="K23" s="608"/>
      <c r="L23" s="789"/>
    </row>
    <row r="24" spans="1:12" s="16" customFormat="1" ht="10.5" customHeight="1">
      <c r="A24" s="350"/>
      <c r="B24" s="286"/>
      <c r="C24" s="286"/>
      <c r="D24" s="286"/>
      <c r="E24" s="286"/>
      <c r="F24" s="286"/>
      <c r="G24" s="175"/>
      <c r="H24" s="175"/>
      <c r="I24" s="628"/>
      <c r="J24" s="351"/>
      <c r="K24" s="605"/>
      <c r="L24" s="789"/>
    </row>
    <row r="25" spans="1:12" s="16" customFormat="1" ht="15" customHeight="1">
      <c r="A25" s="1696" t="s">
        <v>1</v>
      </c>
      <c r="B25" s="1697"/>
      <c r="C25" s="1697"/>
      <c r="D25" s="1697"/>
      <c r="E25" s="1697"/>
      <c r="F25" s="1697"/>
      <c r="G25" s="1697"/>
      <c r="H25" s="1697"/>
      <c r="I25" s="1697"/>
      <c r="J25" s="1698"/>
      <c r="K25" s="585" t="s">
        <v>524</v>
      </c>
      <c r="L25" s="789"/>
    </row>
    <row r="26" spans="1:12" s="16" customFormat="1" ht="15" customHeight="1">
      <c r="A26" s="1399" t="s">
        <v>307</v>
      </c>
      <c r="B26" s="1295"/>
      <c r="C26" s="1295"/>
      <c r="D26" s="1295"/>
      <c r="E26" s="1295"/>
      <c r="F26" s="1295"/>
      <c r="G26" s="1330" t="s">
        <v>225</v>
      </c>
      <c r="H26" s="1330"/>
      <c r="I26" s="1295" t="s">
        <v>226</v>
      </c>
      <c r="J26" s="1296"/>
      <c r="K26" s="501" t="s">
        <v>524</v>
      </c>
      <c r="L26" s="789"/>
    </row>
    <row r="27" spans="1:12" s="16" customFormat="1" ht="15" customHeight="1">
      <c r="A27" s="1384" t="s">
        <v>227</v>
      </c>
      <c r="B27" s="1372"/>
      <c r="C27" s="1372"/>
      <c r="D27" s="1372"/>
      <c r="E27" s="1372"/>
      <c r="F27" s="1372"/>
      <c r="G27" s="1372" t="s">
        <v>2</v>
      </c>
      <c r="H27" s="1372"/>
      <c r="I27" s="1372"/>
      <c r="J27" s="1373"/>
      <c r="K27" s="501" t="s">
        <v>524</v>
      </c>
      <c r="L27" s="789"/>
    </row>
    <row r="28" spans="1:12" s="16" customFormat="1" ht="15" customHeight="1">
      <c r="A28" s="1388" t="s">
        <v>384</v>
      </c>
      <c r="B28" s="1389"/>
      <c r="C28" s="1389"/>
      <c r="D28" s="1389"/>
      <c r="E28" s="1389"/>
      <c r="F28" s="1390"/>
      <c r="G28" s="1391" t="s">
        <v>228</v>
      </c>
      <c r="H28" s="1392"/>
      <c r="I28" s="1392"/>
      <c r="J28" s="1393"/>
      <c r="K28" s="501" t="s">
        <v>524</v>
      </c>
      <c r="L28" s="789"/>
    </row>
    <row r="29" spans="1:12" s="16" customFormat="1" ht="10.5" customHeight="1">
      <c r="A29" s="350"/>
      <c r="B29" s="286"/>
      <c r="C29" s="286"/>
      <c r="D29" s="286"/>
      <c r="E29" s="286"/>
      <c r="F29" s="286"/>
      <c r="G29" s="175"/>
      <c r="H29" s="175"/>
      <c r="I29" s="628"/>
      <c r="J29" s="351"/>
      <c r="K29" s="605"/>
      <c r="L29" s="789"/>
    </row>
    <row r="30" spans="1:12" s="16" customFormat="1" ht="15" customHeight="1">
      <c r="A30" s="1699" t="s">
        <v>3</v>
      </c>
      <c r="B30" s="1700"/>
      <c r="C30" s="1700"/>
      <c r="D30" s="1700"/>
      <c r="E30" s="1700"/>
      <c r="F30" s="1700"/>
      <c r="G30" s="1700"/>
      <c r="H30" s="1700"/>
      <c r="I30" s="1700"/>
      <c r="J30" s="1701"/>
      <c r="K30" s="609"/>
      <c r="L30" s="789"/>
    </row>
    <row r="31" spans="1:12" s="16" customFormat="1" ht="15" customHeight="1">
      <c r="A31" s="1399" t="s">
        <v>520</v>
      </c>
      <c r="B31" s="1295"/>
      <c r="C31" s="1295"/>
      <c r="D31" s="1295"/>
      <c r="E31" s="1295"/>
      <c r="F31" s="1295"/>
      <c r="G31" s="1330" t="s">
        <v>522</v>
      </c>
      <c r="H31" s="1330"/>
      <c r="I31" s="1295" t="s">
        <v>523</v>
      </c>
      <c r="J31" s="1296"/>
      <c r="K31" s="608"/>
      <c r="L31" s="789"/>
    </row>
    <row r="32" spans="1:12" s="16" customFormat="1" ht="15" customHeight="1">
      <c r="A32" s="1399" t="s">
        <v>521</v>
      </c>
      <c r="B32" s="1295"/>
      <c r="C32" s="1295"/>
      <c r="D32" s="1295"/>
      <c r="E32" s="1295" t="s">
        <v>525</v>
      </c>
      <c r="F32" s="1295"/>
      <c r="G32" s="1295"/>
      <c r="H32" s="1295" t="s">
        <v>526</v>
      </c>
      <c r="I32" s="1295"/>
      <c r="J32" s="1296"/>
      <c r="K32" s="501" t="s">
        <v>524</v>
      </c>
      <c r="L32" s="789"/>
    </row>
    <row r="33" spans="1:12" s="16" customFormat="1" ht="27.6" customHeight="1">
      <c r="A33" s="352" t="s">
        <v>301</v>
      </c>
      <c r="B33" s="287"/>
      <c r="C33" s="1291" t="s">
        <v>527</v>
      </c>
      <c r="D33" s="1334"/>
      <c r="E33" s="1295" t="s">
        <v>528</v>
      </c>
      <c r="F33" s="1295"/>
      <c r="G33" s="1295" t="s">
        <v>304</v>
      </c>
      <c r="H33" s="1295"/>
      <c r="I33" s="1295"/>
      <c r="J33" s="1296"/>
      <c r="K33" s="501" t="s">
        <v>524</v>
      </c>
      <c r="L33" s="789"/>
    </row>
    <row r="34" spans="1:12" s="16" customFormat="1" ht="12" customHeight="1">
      <c r="A34" s="353"/>
      <c r="B34" s="288"/>
      <c r="C34" s="288"/>
      <c r="D34" s="288"/>
      <c r="E34" s="288"/>
      <c r="F34" s="288"/>
      <c r="G34" s="175"/>
      <c r="H34" s="175"/>
      <c r="I34" s="628"/>
      <c r="J34" s="351"/>
      <c r="K34" s="605"/>
      <c r="L34" s="789"/>
    </row>
    <row r="35" spans="1:12" s="16" customFormat="1" ht="15" customHeight="1">
      <c r="A35" s="1696" t="s">
        <v>4</v>
      </c>
      <c r="B35" s="1697"/>
      <c r="C35" s="1697"/>
      <c r="D35" s="1697"/>
      <c r="E35" s="1697"/>
      <c r="F35" s="1697"/>
      <c r="G35" s="1697"/>
      <c r="H35" s="1697"/>
      <c r="I35" s="1697"/>
      <c r="J35" s="1698"/>
      <c r="K35" s="606"/>
      <c r="L35" s="789"/>
    </row>
    <row r="36" spans="1:12" s="16" customFormat="1" ht="15" customHeight="1">
      <c r="A36" s="1399" t="s">
        <v>229</v>
      </c>
      <c r="B36" s="1295"/>
      <c r="C36" s="1295"/>
      <c r="D36" s="1295"/>
      <c r="E36" s="1295"/>
      <c r="F36" s="1295"/>
      <c r="G36" s="1295"/>
      <c r="H36" s="1295"/>
      <c r="I36" s="1295"/>
      <c r="J36" s="1296"/>
      <c r="K36" s="608"/>
      <c r="L36" s="789"/>
    </row>
    <row r="37" spans="1:12" s="16" customFormat="1" ht="15" customHeight="1">
      <c r="A37" s="1399" t="s">
        <v>230</v>
      </c>
      <c r="B37" s="1295"/>
      <c r="C37" s="1295"/>
      <c r="D37" s="1295"/>
      <c r="E37" s="1295"/>
      <c r="F37" s="1295"/>
      <c r="G37" s="1295"/>
      <c r="H37" s="1295"/>
      <c r="I37" s="1295"/>
      <c r="J37" s="1296"/>
      <c r="K37" s="608"/>
      <c r="L37" s="789"/>
    </row>
    <row r="38" spans="1:12" s="16" customFormat="1" ht="10.5" customHeight="1">
      <c r="A38" s="350"/>
      <c r="B38" s="286"/>
      <c r="C38" s="286"/>
      <c r="D38" s="286"/>
      <c r="E38" s="286"/>
      <c r="F38" s="286"/>
      <c r="G38" s="175"/>
      <c r="H38" s="175"/>
      <c r="I38" s="628"/>
      <c r="J38" s="351"/>
      <c r="K38" s="605"/>
      <c r="L38" s="789"/>
    </row>
    <row r="39" spans="1:12" s="16" customFormat="1" ht="15" customHeight="1">
      <c r="A39" s="1696" t="s">
        <v>5</v>
      </c>
      <c r="B39" s="1697"/>
      <c r="C39" s="1697"/>
      <c r="D39" s="1697"/>
      <c r="E39" s="1697"/>
      <c r="F39" s="1697"/>
      <c r="G39" s="1697"/>
      <c r="H39" s="1697"/>
      <c r="I39" s="1697"/>
      <c r="J39" s="1698"/>
      <c r="K39" s="606"/>
      <c r="L39" s="789"/>
    </row>
    <row r="40" spans="1:12" s="16" customFormat="1" ht="15" customHeight="1">
      <c r="A40" s="1399" t="s">
        <v>6</v>
      </c>
      <c r="B40" s="1295"/>
      <c r="C40" s="1295"/>
      <c r="D40" s="1295"/>
      <c r="E40" s="1295"/>
      <c r="F40" s="1295"/>
      <c r="G40" s="1295"/>
      <c r="H40" s="1295"/>
      <c r="I40" s="1295"/>
      <c r="J40" s="1296"/>
      <c r="K40" s="608"/>
      <c r="L40" s="789"/>
    </row>
    <row r="41" spans="1:12" s="16" customFormat="1" ht="15" customHeight="1">
      <c r="A41" s="1403" t="s">
        <v>529</v>
      </c>
      <c r="B41" s="1404"/>
      <c r="C41" s="1404"/>
      <c r="D41" s="1404"/>
      <c r="E41" s="1404"/>
      <c r="F41" s="1404"/>
      <c r="G41" s="1404"/>
      <c r="H41" s="1404"/>
      <c r="I41" s="1404"/>
      <c r="J41" s="1405"/>
      <c r="K41" s="585" t="s">
        <v>524</v>
      </c>
      <c r="L41" s="789"/>
    </row>
    <row r="42" spans="1:12" s="16" customFormat="1" ht="15" customHeight="1">
      <c r="A42" s="1399" t="s">
        <v>7</v>
      </c>
      <c r="B42" s="1295"/>
      <c r="C42" s="1295"/>
      <c r="D42" s="1295"/>
      <c r="E42" s="1295"/>
      <c r="F42" s="1295"/>
      <c r="G42" s="1295"/>
      <c r="H42" s="1295"/>
      <c r="I42" s="1295"/>
      <c r="J42" s="1296"/>
      <c r="K42" s="608"/>
      <c r="L42" s="789"/>
    </row>
    <row r="43" spans="1:12" s="16" customFormat="1" ht="15" customHeight="1">
      <c r="A43" s="1403" t="s">
        <v>530</v>
      </c>
      <c r="B43" s="1404"/>
      <c r="C43" s="1404"/>
      <c r="D43" s="1404"/>
      <c r="E43" s="1404"/>
      <c r="F43" s="1404"/>
      <c r="G43" s="1404"/>
      <c r="H43" s="1404"/>
      <c r="I43" s="1404"/>
      <c r="J43" s="1405"/>
      <c r="K43" s="606"/>
      <c r="L43" s="789"/>
    </row>
    <row r="44" spans="1:12" s="16" customFormat="1" ht="13.9" customHeight="1">
      <c r="A44" s="1486"/>
      <c r="B44" s="1487"/>
      <c r="C44" s="1488"/>
      <c r="D44" s="897"/>
      <c r="E44" s="289"/>
      <c r="F44" s="289"/>
      <c r="G44" s="896"/>
      <c r="H44" s="896"/>
      <c r="I44" s="629"/>
      <c r="J44" s="354"/>
      <c r="K44" s="605"/>
      <c r="L44" s="789"/>
    </row>
    <row r="45" spans="1:12" s="16" customFormat="1" ht="12.75" customHeight="1">
      <c r="A45" s="1476" t="s">
        <v>8</v>
      </c>
      <c r="B45" s="1372" t="s">
        <v>9</v>
      </c>
      <c r="C45" s="1372"/>
      <c r="D45" s="1489" t="s">
        <v>373</v>
      </c>
      <c r="E45" s="1489"/>
      <c r="F45" s="1489"/>
      <c r="G45" s="1489"/>
      <c r="H45" s="1489"/>
      <c r="I45" s="1489"/>
      <c r="J45" s="1490"/>
      <c r="K45" s="606"/>
      <c r="L45" s="789"/>
    </row>
    <row r="46" spans="1:12" s="16" customFormat="1" ht="15" customHeight="1">
      <c r="A46" s="1477"/>
      <c r="B46" s="1386" t="s">
        <v>10</v>
      </c>
      <c r="C46" s="1386"/>
      <c r="D46" s="1386" t="s">
        <v>232</v>
      </c>
      <c r="E46" s="1386"/>
      <c r="F46" s="1386"/>
      <c r="G46" s="1386"/>
      <c r="H46" s="1386"/>
      <c r="I46" s="1386"/>
      <c r="J46" s="1387"/>
      <c r="K46" s="606"/>
      <c r="L46" s="789"/>
    </row>
    <row r="47" spans="1:12" s="16" customFormat="1" ht="16.5" customHeight="1">
      <c r="A47" s="1526" t="s">
        <v>205</v>
      </c>
      <c r="B47" s="1317"/>
      <c r="C47" s="1317"/>
      <c r="D47" s="1317"/>
      <c r="E47" s="1317"/>
      <c r="F47" s="1317"/>
      <c r="G47" s="1317"/>
      <c r="H47" s="1317"/>
      <c r="I47" s="1317"/>
      <c r="J47" s="1527"/>
      <c r="K47" s="585"/>
      <c r="L47" s="789"/>
    </row>
    <row r="48" spans="1:12" s="16" customFormat="1" ht="46.9" customHeight="1">
      <c r="A48" s="906">
        <v>1</v>
      </c>
      <c r="B48" s="1294" t="s">
        <v>319</v>
      </c>
      <c r="C48" s="1294"/>
      <c r="D48" s="1397" t="s">
        <v>472</v>
      </c>
      <c r="E48" s="1397"/>
      <c r="F48" s="1397"/>
      <c r="G48" s="1397"/>
      <c r="H48" s="1397"/>
      <c r="I48" s="1397"/>
      <c r="J48" s="1398"/>
      <c r="K48" s="610"/>
      <c r="L48" s="789"/>
    </row>
    <row r="49" spans="1:13" s="16" customFormat="1" ht="54" customHeight="1">
      <c r="A49" s="906" t="s">
        <v>37</v>
      </c>
      <c r="B49" s="1294" t="s">
        <v>474</v>
      </c>
      <c r="C49" s="1294"/>
      <c r="D49" s="1397" t="s">
        <v>237</v>
      </c>
      <c r="E49" s="1397"/>
      <c r="F49" s="1397"/>
      <c r="G49" s="1397"/>
      <c r="H49" s="1397"/>
      <c r="I49" s="1397"/>
      <c r="J49" s="1398"/>
      <c r="K49" s="610"/>
      <c r="L49" s="789"/>
    </row>
    <row r="50" spans="1:13" s="16" customFormat="1" ht="30.6" customHeight="1">
      <c r="A50" s="906" t="s">
        <v>39</v>
      </c>
      <c r="B50" s="1289" t="s">
        <v>385</v>
      </c>
      <c r="C50" s="1290"/>
      <c r="D50" s="1291" t="s">
        <v>467</v>
      </c>
      <c r="E50" s="1292"/>
      <c r="F50" s="1292"/>
      <c r="G50" s="1292"/>
      <c r="H50" s="1292"/>
      <c r="I50" s="1292"/>
      <c r="J50" s="1293"/>
      <c r="K50" s="610"/>
      <c r="L50" s="789"/>
    </row>
    <row r="51" spans="1:13" s="16" customFormat="1" ht="44.45" customHeight="1">
      <c r="A51" s="906" t="s">
        <v>345</v>
      </c>
      <c r="B51" s="1289" t="s">
        <v>468</v>
      </c>
      <c r="C51" s="1290"/>
      <c r="D51" s="1291" t="s">
        <v>469</v>
      </c>
      <c r="E51" s="1292"/>
      <c r="F51" s="1292"/>
      <c r="G51" s="1292"/>
      <c r="H51" s="1292"/>
      <c r="I51" s="1292"/>
      <c r="J51" s="1293"/>
      <c r="K51" s="610"/>
      <c r="L51" s="789"/>
    </row>
    <row r="52" spans="1:13" s="16" customFormat="1" ht="34.15" customHeight="1">
      <c r="A52" s="906" t="s">
        <v>347</v>
      </c>
      <c r="B52" s="1289" t="s">
        <v>470</v>
      </c>
      <c r="C52" s="1290"/>
      <c r="D52" s="1291" t="s">
        <v>410</v>
      </c>
      <c r="E52" s="1292"/>
      <c r="F52" s="1292"/>
      <c r="G52" s="1292"/>
      <c r="H52" s="1292"/>
      <c r="I52" s="1292"/>
      <c r="J52" s="1293"/>
      <c r="K52" s="610"/>
      <c r="L52" s="789"/>
    </row>
    <row r="53" spans="1:13" s="16" customFormat="1" ht="56.45" customHeight="1" thickBot="1">
      <c r="A53" s="356" t="s">
        <v>349</v>
      </c>
      <c r="B53" s="1684" t="s">
        <v>471</v>
      </c>
      <c r="C53" s="1685"/>
      <c r="D53" s="1349" t="s">
        <v>473</v>
      </c>
      <c r="E53" s="1350"/>
      <c r="F53" s="1350"/>
      <c r="G53" s="1350"/>
      <c r="H53" s="1350"/>
      <c r="I53" s="1350"/>
      <c r="J53" s="1351"/>
      <c r="K53" s="610"/>
      <c r="L53" s="789"/>
    </row>
    <row r="54" spans="1:13" s="16" customFormat="1" ht="20.45" customHeight="1" thickTop="1">
      <c r="A54" s="876"/>
      <c r="B54" s="876"/>
      <c r="C54" s="876"/>
      <c r="D54" s="344"/>
      <c r="E54" s="344"/>
      <c r="F54" s="344"/>
      <c r="G54" s="344"/>
      <c r="H54" s="344"/>
      <c r="I54" s="630"/>
      <c r="J54" s="344"/>
      <c r="K54" s="610"/>
      <c r="L54" s="789"/>
    </row>
    <row r="55" spans="1:13" s="16" customFormat="1" ht="20.45" customHeight="1">
      <c r="A55" s="876"/>
      <c r="B55" s="876"/>
      <c r="C55" s="876"/>
      <c r="D55" s="344"/>
      <c r="E55" s="344"/>
      <c r="F55" s="344"/>
      <c r="G55" s="344"/>
      <c r="H55" s="344"/>
      <c r="I55" s="630"/>
      <c r="J55" s="344"/>
      <c r="K55" s="610"/>
      <c r="L55" s="789"/>
    </row>
    <row r="56" spans="1:13" s="16" customFormat="1" ht="20.45" customHeight="1" thickBot="1">
      <c r="A56" s="367"/>
      <c r="B56" s="367"/>
      <c r="C56" s="367"/>
      <c r="D56" s="368"/>
      <c r="E56" s="368"/>
      <c r="F56" s="368"/>
      <c r="G56" s="368"/>
      <c r="H56" s="368"/>
      <c r="I56" s="631"/>
      <c r="J56" s="368"/>
      <c r="K56" s="610"/>
      <c r="L56" s="789"/>
    </row>
    <row r="57" spans="1:13" s="16" customFormat="1" ht="25.15" customHeight="1" thickTop="1">
      <c r="A57" s="588" t="s">
        <v>405</v>
      </c>
      <c r="B57" s="1688" t="s">
        <v>42</v>
      </c>
      <c r="C57" s="1689"/>
      <c r="D57" s="589"/>
      <c r="E57" s="344"/>
      <c r="F57" s="344"/>
      <c r="G57" s="344"/>
      <c r="H57" s="344"/>
      <c r="I57" s="630"/>
      <c r="J57" s="590"/>
      <c r="K57" s="610"/>
      <c r="L57" s="789"/>
      <c r="M57" s="591" t="s">
        <v>355</v>
      </c>
    </row>
    <row r="58" spans="1:13" s="16" customFormat="1" ht="40.15" customHeight="1">
      <c r="A58" s="906" t="s">
        <v>84</v>
      </c>
      <c r="B58" s="1294" t="s">
        <v>480</v>
      </c>
      <c r="C58" s="1294"/>
      <c r="D58" s="1291" t="s">
        <v>242</v>
      </c>
      <c r="E58" s="1292"/>
      <c r="F58" s="1292"/>
      <c r="G58" s="1292"/>
      <c r="H58" s="1292"/>
      <c r="I58" s="1292"/>
      <c r="J58" s="1293"/>
      <c r="K58" s="608"/>
      <c r="L58" s="789"/>
    </row>
    <row r="59" spans="1:13" s="16" customFormat="1" ht="306" customHeight="1">
      <c r="A59" s="363" t="s">
        <v>506</v>
      </c>
      <c r="B59" s="1496" t="s">
        <v>475</v>
      </c>
      <c r="C59" s="1496"/>
      <c r="D59" s="1693" t="s">
        <v>420</v>
      </c>
      <c r="E59" s="1694"/>
      <c r="F59" s="1694"/>
      <c r="G59" s="1694"/>
      <c r="H59" s="1694"/>
      <c r="I59" s="1694"/>
      <c r="J59" s="1695"/>
      <c r="K59" s="610"/>
      <c r="L59" s="789"/>
    </row>
    <row r="60" spans="1:13" s="16" customFormat="1" ht="47.45" customHeight="1">
      <c r="A60" s="906" t="s">
        <v>45</v>
      </c>
      <c r="B60" s="1294" t="s">
        <v>476</v>
      </c>
      <c r="C60" s="1294"/>
      <c r="D60" s="1397" t="s">
        <v>234</v>
      </c>
      <c r="E60" s="1397"/>
      <c r="F60" s="1397"/>
      <c r="G60" s="1397"/>
      <c r="H60" s="1397"/>
      <c r="I60" s="1397"/>
      <c r="J60" s="1398"/>
      <c r="K60" s="610"/>
      <c r="L60" s="789"/>
    </row>
    <row r="61" spans="1:13" s="16" customFormat="1" ht="84" customHeight="1">
      <c r="A61" s="906">
        <v>3</v>
      </c>
      <c r="B61" s="1294" t="s">
        <v>252</v>
      </c>
      <c r="C61" s="1294"/>
      <c r="D61" s="1291" t="s">
        <v>253</v>
      </c>
      <c r="E61" s="1292"/>
      <c r="F61" s="1292"/>
      <c r="G61" s="1292"/>
      <c r="H61" s="1292"/>
      <c r="I61" s="1292"/>
      <c r="J61" s="1293"/>
      <c r="K61" s="608"/>
      <c r="L61" s="789"/>
    </row>
    <row r="62" spans="1:13" s="16" customFormat="1" ht="40.9" customHeight="1">
      <c r="A62" s="906">
        <v>4</v>
      </c>
      <c r="B62" s="1294" t="s">
        <v>481</v>
      </c>
      <c r="C62" s="1294"/>
      <c r="D62" s="1291" t="s">
        <v>247</v>
      </c>
      <c r="E62" s="1292"/>
      <c r="F62" s="1292"/>
      <c r="G62" s="1292"/>
      <c r="H62" s="1292"/>
      <c r="I62" s="1292"/>
      <c r="J62" s="1293"/>
      <c r="K62" s="608"/>
      <c r="L62" s="789"/>
    </row>
    <row r="63" spans="1:13" s="16" customFormat="1" ht="64.900000000000006" customHeight="1">
      <c r="A63" s="906" t="s">
        <v>58</v>
      </c>
      <c r="B63" s="1294" t="s">
        <v>482</v>
      </c>
      <c r="C63" s="1294"/>
      <c r="D63" s="1291" t="s">
        <v>251</v>
      </c>
      <c r="E63" s="1292"/>
      <c r="F63" s="1292"/>
      <c r="G63" s="1292"/>
      <c r="H63" s="1292"/>
      <c r="I63" s="1292"/>
      <c r="J63" s="1293"/>
      <c r="K63" s="608"/>
      <c r="L63" s="789"/>
    </row>
    <row r="64" spans="1:13" s="16" customFormat="1" ht="114.6" customHeight="1" thickBot="1">
      <c r="A64" s="356" t="s">
        <v>59</v>
      </c>
      <c r="B64" s="1342" t="s">
        <v>248</v>
      </c>
      <c r="C64" s="1342"/>
      <c r="D64" s="1382" t="s">
        <v>249</v>
      </c>
      <c r="E64" s="1382"/>
      <c r="F64" s="1382"/>
      <c r="G64" s="1382"/>
      <c r="H64" s="1382"/>
      <c r="I64" s="1382"/>
      <c r="J64" s="1383"/>
      <c r="K64" s="608"/>
      <c r="L64" s="789"/>
    </row>
    <row r="65" spans="1:14" s="16" customFormat="1" ht="22.9" customHeight="1" thickTop="1">
      <c r="A65" s="876"/>
      <c r="B65" s="876"/>
      <c r="C65" s="876"/>
      <c r="D65" s="344"/>
      <c r="E65" s="344"/>
      <c r="F65" s="344"/>
      <c r="G65" s="344"/>
      <c r="H65" s="344"/>
      <c r="I65" s="630"/>
      <c r="J65" s="344"/>
      <c r="K65" s="608"/>
      <c r="L65" s="789"/>
    </row>
    <row r="66" spans="1:14" s="16" customFormat="1" ht="22.9" customHeight="1">
      <c r="A66" s="876"/>
      <c r="B66" s="876"/>
      <c r="C66" s="876"/>
      <c r="D66" s="344"/>
      <c r="E66" s="344"/>
      <c r="F66" s="344"/>
      <c r="G66" s="344"/>
      <c r="H66" s="344"/>
      <c r="I66" s="630"/>
      <c r="J66" s="344"/>
      <c r="K66" s="608"/>
      <c r="L66" s="789"/>
    </row>
    <row r="67" spans="1:14" s="16" customFormat="1" ht="22.9" customHeight="1">
      <c r="A67" s="876"/>
      <c r="B67" s="876"/>
      <c r="C67" s="876"/>
      <c r="D67" s="344"/>
      <c r="E67" s="344"/>
      <c r="F67" s="344"/>
      <c r="G67" s="344"/>
      <c r="H67" s="344"/>
      <c r="I67" s="630"/>
      <c r="J67" s="344"/>
      <c r="K67" s="608"/>
      <c r="L67" s="789"/>
    </row>
    <row r="68" spans="1:14" s="16" customFormat="1" ht="22.9" customHeight="1">
      <c r="A68" s="876"/>
      <c r="B68" s="876"/>
      <c r="C68" s="876"/>
      <c r="D68" s="344"/>
      <c r="E68" s="344"/>
      <c r="F68" s="344"/>
      <c r="G68" s="344"/>
      <c r="H68" s="344"/>
      <c r="I68" s="630"/>
      <c r="J68" s="344"/>
      <c r="K68" s="608"/>
      <c r="L68" s="789"/>
    </row>
    <row r="69" spans="1:14" s="16" customFormat="1" ht="22.9" customHeight="1">
      <c r="A69" s="876"/>
      <c r="B69" s="876"/>
      <c r="C69" s="876"/>
      <c r="D69" s="344"/>
      <c r="E69" s="344"/>
      <c r="F69" s="344"/>
      <c r="G69" s="344"/>
      <c r="H69" s="344"/>
      <c r="I69" s="630"/>
      <c r="J69" s="344"/>
      <c r="K69" s="608"/>
      <c r="L69" s="789"/>
    </row>
    <row r="70" spans="1:14" s="16" customFormat="1" ht="22.9" customHeight="1">
      <c r="A70" s="876"/>
      <c r="B70" s="876"/>
      <c r="C70" s="876"/>
      <c r="D70" s="344"/>
      <c r="E70" s="344"/>
      <c r="F70" s="344"/>
      <c r="G70" s="344"/>
      <c r="H70" s="344"/>
      <c r="I70" s="630"/>
      <c r="J70" s="344"/>
      <c r="K70" s="608"/>
      <c r="L70" s="789"/>
    </row>
    <row r="71" spans="1:14" s="16" customFormat="1" ht="24" customHeight="1" thickBot="1">
      <c r="A71" s="367"/>
      <c r="B71" s="367"/>
      <c r="C71" s="367"/>
      <c r="D71" s="368"/>
      <c r="E71" s="368"/>
      <c r="F71" s="368"/>
      <c r="G71" s="368"/>
      <c r="H71" s="368"/>
      <c r="I71" s="631"/>
      <c r="J71" s="368"/>
      <c r="K71" s="608"/>
      <c r="L71" s="789"/>
    </row>
    <row r="72" spans="1:14" s="16" customFormat="1" ht="302.25" customHeight="1" thickTop="1">
      <c r="A72" s="588" t="s">
        <v>477</v>
      </c>
      <c r="B72" s="1688" t="s">
        <v>475</v>
      </c>
      <c r="C72" s="1689"/>
      <c r="D72" s="1679" t="s">
        <v>420</v>
      </c>
      <c r="E72" s="1389"/>
      <c r="F72" s="1389"/>
      <c r="G72" s="1389"/>
      <c r="H72" s="1389"/>
      <c r="I72" s="1389"/>
      <c r="J72" s="1680"/>
      <c r="K72" s="608"/>
      <c r="L72" s="789"/>
    </row>
    <row r="73" spans="1:14" s="16" customFormat="1" ht="60" customHeight="1">
      <c r="A73" s="358" t="s">
        <v>62</v>
      </c>
      <c r="B73" s="1289" t="s">
        <v>361</v>
      </c>
      <c r="C73" s="1290"/>
      <c r="D73" s="1291" t="s">
        <v>362</v>
      </c>
      <c r="E73" s="1292"/>
      <c r="F73" s="1292"/>
      <c r="G73" s="1292"/>
      <c r="H73" s="1292"/>
      <c r="I73" s="1292"/>
      <c r="J73" s="1293"/>
      <c r="K73" s="608"/>
      <c r="L73" s="789"/>
      <c r="N73" s="18"/>
    </row>
    <row r="74" spans="1:14" s="16" customFormat="1" ht="19.899999999999999" customHeight="1">
      <c r="A74" s="906">
        <v>5</v>
      </c>
      <c r="B74" s="1289" t="s">
        <v>255</v>
      </c>
      <c r="C74" s="1290"/>
      <c r="D74" s="1291"/>
      <c r="E74" s="1292"/>
      <c r="F74" s="1292"/>
      <c r="G74" s="1292"/>
      <c r="H74" s="1292"/>
      <c r="I74" s="1292"/>
      <c r="J74" s="1293"/>
      <c r="K74" s="611"/>
      <c r="L74" s="789"/>
    </row>
    <row r="75" spans="1:14" s="16" customFormat="1" ht="120" customHeight="1">
      <c r="A75" s="363" t="s">
        <v>71</v>
      </c>
      <c r="B75" s="1496" t="s">
        <v>256</v>
      </c>
      <c r="C75" s="1496"/>
      <c r="D75" s="1679" t="s">
        <v>289</v>
      </c>
      <c r="E75" s="1389"/>
      <c r="F75" s="1389"/>
      <c r="G75" s="1389"/>
      <c r="H75" s="1389"/>
      <c r="I75" s="1389"/>
      <c r="J75" s="1680"/>
      <c r="K75" s="608"/>
      <c r="L75" s="789"/>
    </row>
    <row r="76" spans="1:14" s="16" customFormat="1" ht="79.150000000000006" customHeight="1">
      <c r="A76" s="363" t="s">
        <v>72</v>
      </c>
      <c r="B76" s="1496" t="s">
        <v>258</v>
      </c>
      <c r="C76" s="1496"/>
      <c r="D76" s="1679" t="s">
        <v>257</v>
      </c>
      <c r="E76" s="1389"/>
      <c r="F76" s="1389"/>
      <c r="G76" s="1389"/>
      <c r="H76" s="1389"/>
      <c r="I76" s="1389"/>
      <c r="J76" s="1680"/>
      <c r="K76" s="608"/>
      <c r="L76" s="789"/>
    </row>
    <row r="77" spans="1:14" s="16" customFormat="1" ht="108.6" customHeight="1">
      <c r="A77" s="906" t="s">
        <v>73</v>
      </c>
      <c r="B77" s="1294" t="s">
        <v>254</v>
      </c>
      <c r="C77" s="1294"/>
      <c r="D77" s="1291" t="s">
        <v>333</v>
      </c>
      <c r="E77" s="1292"/>
      <c r="F77" s="1292"/>
      <c r="G77" s="1292"/>
      <c r="H77" s="1292"/>
      <c r="I77" s="1292"/>
      <c r="J77" s="1293"/>
      <c r="K77" s="608"/>
      <c r="L77" s="789"/>
    </row>
    <row r="78" spans="1:14" s="16" customFormat="1" ht="48" customHeight="1">
      <c r="A78" s="363" t="s">
        <v>74</v>
      </c>
      <c r="B78" s="1289" t="s">
        <v>483</v>
      </c>
      <c r="C78" s="1290"/>
      <c r="D78" s="1291" t="s">
        <v>484</v>
      </c>
      <c r="E78" s="1292"/>
      <c r="F78" s="1292"/>
      <c r="G78" s="1292"/>
      <c r="H78" s="1292"/>
      <c r="I78" s="1292"/>
      <c r="J78" s="1293"/>
      <c r="K78" s="608"/>
      <c r="L78" s="789"/>
    </row>
    <row r="79" spans="1:14" s="16" customFormat="1" ht="31.15" customHeight="1">
      <c r="A79" s="363" t="s">
        <v>507</v>
      </c>
      <c r="B79" s="1496" t="s">
        <v>486</v>
      </c>
      <c r="C79" s="1496"/>
      <c r="D79" s="1494" t="s">
        <v>485</v>
      </c>
      <c r="E79" s="1494"/>
      <c r="F79" s="1494"/>
      <c r="G79" s="1494"/>
      <c r="H79" s="1494"/>
      <c r="I79" s="1494"/>
      <c r="J79" s="1495"/>
      <c r="K79" s="608"/>
      <c r="L79" s="789"/>
    </row>
    <row r="80" spans="1:14" s="16" customFormat="1" ht="25.9" customHeight="1">
      <c r="A80" s="363" t="s">
        <v>77</v>
      </c>
      <c r="B80" s="1289" t="s">
        <v>487</v>
      </c>
      <c r="C80" s="1290"/>
      <c r="D80" s="1291" t="s">
        <v>488</v>
      </c>
      <c r="E80" s="1292"/>
      <c r="F80" s="1292"/>
      <c r="G80" s="1292"/>
      <c r="H80" s="1292"/>
      <c r="I80" s="1292"/>
      <c r="J80" s="1293"/>
      <c r="K80" s="608"/>
      <c r="L80" s="789"/>
    </row>
    <row r="81" spans="1:12" s="16" customFormat="1" ht="31.15" customHeight="1">
      <c r="A81" s="363" t="s">
        <v>337</v>
      </c>
      <c r="B81" s="1289" t="s">
        <v>489</v>
      </c>
      <c r="C81" s="1290"/>
      <c r="D81" s="1291" t="s">
        <v>490</v>
      </c>
      <c r="E81" s="1292"/>
      <c r="F81" s="1292"/>
      <c r="G81" s="1292"/>
      <c r="H81" s="1292"/>
      <c r="I81" s="1292"/>
      <c r="J81" s="1293"/>
      <c r="K81" s="608"/>
      <c r="L81" s="789"/>
    </row>
    <row r="82" spans="1:12" s="16" customFormat="1" ht="25.9" customHeight="1" thickBot="1">
      <c r="A82" s="356">
        <v>6</v>
      </c>
      <c r="B82" s="1684" t="s">
        <v>491</v>
      </c>
      <c r="C82" s="1685"/>
      <c r="D82" s="1349" t="s">
        <v>492</v>
      </c>
      <c r="E82" s="1350"/>
      <c r="F82" s="1350"/>
      <c r="G82" s="1350"/>
      <c r="H82" s="1350"/>
      <c r="I82" s="1350"/>
      <c r="J82" s="1351"/>
      <c r="K82" s="608"/>
      <c r="L82" s="789"/>
    </row>
    <row r="83" spans="1:12" s="16" customFormat="1" ht="25.9" customHeight="1" thickTop="1">
      <c r="A83" s="876"/>
      <c r="B83" s="876"/>
      <c r="C83" s="876"/>
      <c r="D83" s="344"/>
      <c r="E83" s="344"/>
      <c r="F83" s="344"/>
      <c r="G83" s="344"/>
      <c r="H83" s="344"/>
      <c r="I83" s="630"/>
      <c r="J83" s="344"/>
      <c r="K83" s="608"/>
      <c r="L83" s="789"/>
    </row>
    <row r="84" spans="1:12" s="16" customFormat="1" ht="25.9" customHeight="1" thickBot="1">
      <c r="A84" s="367"/>
      <c r="B84" s="367"/>
      <c r="C84" s="367"/>
      <c r="D84" s="368"/>
      <c r="E84" s="368"/>
      <c r="F84" s="368"/>
      <c r="G84" s="368"/>
      <c r="H84" s="368"/>
      <c r="I84" s="631"/>
      <c r="J84" s="368"/>
      <c r="K84" s="608"/>
      <c r="L84" s="789"/>
    </row>
    <row r="85" spans="1:12" s="16" customFormat="1" ht="15" customHeight="1" thickTop="1">
      <c r="A85" s="1690" t="s">
        <v>478</v>
      </c>
      <c r="B85" s="1691"/>
      <c r="C85" s="1691"/>
      <c r="D85" s="1691"/>
      <c r="E85" s="1691"/>
      <c r="F85" s="1691"/>
      <c r="G85" s="1691"/>
      <c r="H85" s="1691"/>
      <c r="I85" s="1691"/>
      <c r="J85" s="1692"/>
      <c r="K85" s="608"/>
      <c r="L85" s="789"/>
    </row>
    <row r="86" spans="1:12" s="16" customFormat="1" ht="69.75" customHeight="1">
      <c r="A86" s="363">
        <v>1</v>
      </c>
      <c r="B86" s="1289" t="s">
        <v>479</v>
      </c>
      <c r="C86" s="1290"/>
      <c r="D86" s="1291" t="s">
        <v>293</v>
      </c>
      <c r="E86" s="1292"/>
      <c r="F86" s="1292"/>
      <c r="G86" s="1292"/>
      <c r="H86" s="1292"/>
      <c r="I86" s="1292"/>
      <c r="J86" s="1293"/>
      <c r="K86" s="608"/>
      <c r="L86" s="789"/>
    </row>
    <row r="87" spans="1:12" s="16" customFormat="1" ht="19.149999999999999" customHeight="1">
      <c r="A87" s="363">
        <v>2</v>
      </c>
      <c r="B87" s="1289" t="s">
        <v>42</v>
      </c>
      <c r="C87" s="1290"/>
      <c r="D87" s="1289"/>
      <c r="E87" s="1425"/>
      <c r="F87" s="1425"/>
      <c r="G87" s="1425"/>
      <c r="H87" s="1425"/>
      <c r="I87" s="1425"/>
      <c r="J87" s="1426"/>
      <c r="K87" s="608"/>
      <c r="L87" s="789"/>
    </row>
    <row r="88" spans="1:12" s="16" customFormat="1" ht="58.5" customHeight="1">
      <c r="A88" s="363" t="s">
        <v>84</v>
      </c>
      <c r="B88" s="1289" t="s">
        <v>493</v>
      </c>
      <c r="C88" s="1290"/>
      <c r="D88" s="1291" t="s">
        <v>498</v>
      </c>
      <c r="E88" s="1292"/>
      <c r="F88" s="1292"/>
      <c r="G88" s="1292"/>
      <c r="H88" s="1292"/>
      <c r="I88" s="1292"/>
      <c r="J88" s="1293"/>
      <c r="K88" s="608"/>
      <c r="L88" s="789"/>
    </row>
    <row r="89" spans="1:12" s="16" customFormat="1" ht="41.45" customHeight="1">
      <c r="A89" s="363" t="s">
        <v>43</v>
      </c>
      <c r="B89" s="1289" t="s">
        <v>476</v>
      </c>
      <c r="C89" s="1290"/>
      <c r="D89" s="1291" t="s">
        <v>234</v>
      </c>
      <c r="E89" s="1292"/>
      <c r="F89" s="1292"/>
      <c r="G89" s="1292"/>
      <c r="H89" s="1292"/>
      <c r="I89" s="1292"/>
      <c r="J89" s="1293"/>
      <c r="K89" s="608"/>
      <c r="L89" s="789"/>
    </row>
    <row r="90" spans="1:12" s="16" customFormat="1" ht="31.15" customHeight="1">
      <c r="A90" s="363" t="s">
        <v>240</v>
      </c>
      <c r="B90" s="1289" t="s">
        <v>239</v>
      </c>
      <c r="C90" s="1290"/>
      <c r="D90" s="1291" t="s">
        <v>238</v>
      </c>
      <c r="E90" s="1292"/>
      <c r="F90" s="1292"/>
      <c r="G90" s="1292"/>
      <c r="H90" s="1292"/>
      <c r="I90" s="1292"/>
      <c r="J90" s="1293"/>
      <c r="K90" s="608"/>
      <c r="L90" s="789"/>
    </row>
    <row r="91" spans="1:12" s="16" customFormat="1" ht="30.6" customHeight="1">
      <c r="A91" s="363" t="s">
        <v>45</v>
      </c>
      <c r="B91" s="1289" t="s">
        <v>480</v>
      </c>
      <c r="C91" s="1290"/>
      <c r="D91" s="1291" t="s">
        <v>242</v>
      </c>
      <c r="E91" s="1292"/>
      <c r="F91" s="1292"/>
      <c r="G91" s="1292"/>
      <c r="H91" s="1292"/>
      <c r="I91" s="1292"/>
      <c r="J91" s="1293"/>
      <c r="K91" s="608"/>
      <c r="L91" s="789"/>
    </row>
    <row r="92" spans="1:12" s="16" customFormat="1" ht="296.45" customHeight="1">
      <c r="A92" s="363" t="s">
        <v>508</v>
      </c>
      <c r="B92" s="1289" t="s">
        <v>475</v>
      </c>
      <c r="C92" s="1290"/>
      <c r="D92" s="1291" t="s">
        <v>420</v>
      </c>
      <c r="E92" s="1292"/>
      <c r="F92" s="1292"/>
      <c r="G92" s="1292"/>
      <c r="H92" s="1292"/>
      <c r="I92" s="1292"/>
      <c r="J92" s="1293"/>
      <c r="K92" s="608"/>
      <c r="L92" s="789"/>
    </row>
    <row r="93" spans="1:12" s="16" customFormat="1" ht="30" customHeight="1">
      <c r="A93" s="363">
        <v>3</v>
      </c>
      <c r="B93" s="1289" t="s">
        <v>315</v>
      </c>
      <c r="C93" s="1290"/>
      <c r="D93" s="1291" t="s">
        <v>417</v>
      </c>
      <c r="E93" s="1292"/>
      <c r="F93" s="1292"/>
      <c r="G93" s="1292"/>
      <c r="H93" s="1292"/>
      <c r="I93" s="1292"/>
      <c r="J93" s="1293"/>
      <c r="K93" s="608"/>
      <c r="L93" s="789"/>
    </row>
    <row r="94" spans="1:12" s="16" customFormat="1" ht="16.149999999999999" customHeight="1">
      <c r="A94" s="363" t="s">
        <v>54</v>
      </c>
      <c r="B94" s="1289" t="s">
        <v>468</v>
      </c>
      <c r="C94" s="1290"/>
      <c r="D94" s="1291" t="s">
        <v>509</v>
      </c>
      <c r="E94" s="1292"/>
      <c r="F94" s="1292"/>
      <c r="G94" s="1292"/>
      <c r="H94" s="1292"/>
      <c r="I94" s="1292"/>
      <c r="J94" s="1293"/>
      <c r="K94" s="608"/>
      <c r="L94" s="789"/>
    </row>
    <row r="95" spans="1:12" s="16" customFormat="1" ht="18.600000000000001" customHeight="1">
      <c r="A95" s="363" t="s">
        <v>95</v>
      </c>
      <c r="B95" s="1289" t="s">
        <v>494</v>
      </c>
      <c r="C95" s="1290"/>
      <c r="D95" s="1291" t="s">
        <v>510</v>
      </c>
      <c r="E95" s="1292"/>
      <c r="F95" s="1292"/>
      <c r="G95" s="1292"/>
      <c r="H95" s="1292"/>
      <c r="I95" s="1292"/>
      <c r="J95" s="1293"/>
      <c r="K95" s="608"/>
      <c r="L95" s="789"/>
    </row>
    <row r="96" spans="1:12" s="16" customFormat="1" ht="87.75" customHeight="1">
      <c r="A96" s="363" t="s">
        <v>97</v>
      </c>
      <c r="B96" s="1289" t="s">
        <v>190</v>
      </c>
      <c r="C96" s="1290"/>
      <c r="D96" s="1291" t="s">
        <v>418</v>
      </c>
      <c r="E96" s="1292"/>
      <c r="F96" s="1292"/>
      <c r="G96" s="1292"/>
      <c r="H96" s="1292"/>
      <c r="I96" s="1292"/>
      <c r="J96" s="1293"/>
      <c r="K96" s="608"/>
      <c r="L96" s="789"/>
    </row>
    <row r="97" spans="1:12" s="16" customFormat="1" ht="20.45" customHeight="1">
      <c r="A97" s="363">
        <v>4</v>
      </c>
      <c r="B97" s="1289" t="s">
        <v>495</v>
      </c>
      <c r="C97" s="1290"/>
      <c r="D97" s="1291"/>
      <c r="E97" s="1292"/>
      <c r="F97" s="1292"/>
      <c r="G97" s="1292"/>
      <c r="H97" s="1292"/>
      <c r="I97" s="1292"/>
      <c r="J97" s="1293"/>
      <c r="K97" s="608"/>
      <c r="L97" s="789"/>
    </row>
    <row r="98" spans="1:12" s="16" customFormat="1" ht="84.75" customHeight="1">
      <c r="A98" s="363" t="s">
        <v>58</v>
      </c>
      <c r="B98" s="1289" t="s">
        <v>252</v>
      </c>
      <c r="C98" s="1290"/>
      <c r="D98" s="1291" t="str">
        <f>D61</f>
        <v xml:space="preserve">As alvenarias apresentarão prumo e alinhamentos perfeitos, fiadas niveladas e com espessura das juntas compatíveis com os materiais utilizados.  Os elementos de alvenaria que absorvem água deverão ser molhados por ocasião do seu emprego, e no respaldo de alvenaria não encunhado será executada cinta de concreto armado.
Serão utilizados blocos de concreto estrutural 14x19x39cm, assentados com  argamassa de cimento e areia , na posição de "uma vez".  
</v>
      </c>
      <c r="E98" s="1292"/>
      <c r="F98" s="1292"/>
      <c r="G98" s="1292"/>
      <c r="H98" s="1292"/>
      <c r="I98" s="1292"/>
      <c r="J98" s="1293"/>
      <c r="K98" s="608"/>
      <c r="L98" s="789"/>
    </row>
    <row r="99" spans="1:12" s="16" customFormat="1" ht="25.9" customHeight="1" thickBot="1">
      <c r="A99" s="356" t="s">
        <v>59</v>
      </c>
      <c r="B99" s="1684" t="s">
        <v>496</v>
      </c>
      <c r="C99" s="1685"/>
      <c r="D99" s="1349" t="s">
        <v>505</v>
      </c>
      <c r="E99" s="1350"/>
      <c r="F99" s="1350"/>
      <c r="G99" s="1350"/>
      <c r="H99" s="1350"/>
      <c r="I99" s="1350"/>
      <c r="J99" s="1351"/>
      <c r="K99" s="608"/>
      <c r="L99" s="789"/>
    </row>
    <row r="100" spans="1:12" s="16" customFormat="1" ht="25.9" customHeight="1" thickTop="1">
      <c r="A100" s="876"/>
      <c r="B100" s="876"/>
      <c r="C100" s="876"/>
      <c r="D100" s="344"/>
      <c r="E100" s="344"/>
      <c r="F100" s="344"/>
      <c r="G100" s="344"/>
      <c r="H100" s="344"/>
      <c r="I100" s="630"/>
      <c r="J100" s="344"/>
      <c r="K100" s="608"/>
      <c r="L100" s="789"/>
    </row>
    <row r="101" spans="1:12" s="16" customFormat="1" ht="25.9" customHeight="1">
      <c r="A101" s="876"/>
      <c r="B101" s="876"/>
      <c r="C101" s="876"/>
      <c r="D101" s="344"/>
      <c r="E101" s="344"/>
      <c r="F101" s="344"/>
      <c r="G101" s="344"/>
      <c r="H101" s="344"/>
      <c r="I101" s="630"/>
      <c r="J101" s="344"/>
      <c r="K101" s="608"/>
      <c r="L101" s="789"/>
    </row>
    <row r="102" spans="1:12" s="16" customFormat="1" ht="25.9" customHeight="1" thickBot="1">
      <c r="A102" s="367"/>
      <c r="B102" s="367"/>
      <c r="C102" s="367"/>
      <c r="D102" s="368"/>
      <c r="E102" s="368"/>
      <c r="F102" s="368"/>
      <c r="G102" s="368"/>
      <c r="H102" s="368"/>
      <c r="I102" s="631"/>
      <c r="J102" s="368"/>
      <c r="K102" s="608"/>
      <c r="L102" s="789"/>
    </row>
    <row r="103" spans="1:12" s="16" customFormat="1" ht="116.45" customHeight="1" thickTop="1">
      <c r="A103" s="363" t="s">
        <v>60</v>
      </c>
      <c r="B103" s="1688" t="s">
        <v>248</v>
      </c>
      <c r="C103" s="1689"/>
      <c r="D103" s="1353" t="str">
        <f>D64</f>
        <v xml:space="preserve">As formas de vigas e pilares deverão ser de tábua comum ou chapa de compensado tipo madeirite, as quais deverão ter  as amarrações e os escoramentos necessários para não sofrerem deslocamentos ou deformações quando do lançamento do concreto, fazendo com que por ocasião da desforma reproduza uma estrutura perfeita e alinhada.
Na retirada das formas deve se evitar choques mecânicos.
A execução das formas e seus escoramentos deverão garantir nivelamento, prumo, esquadro, paralelismo, alinhamento das peças e impedir o aparecimento de ondulações na superfície pronta do concreto.
</v>
      </c>
      <c r="E103" s="1354"/>
      <c r="F103" s="1354"/>
      <c r="G103" s="1354"/>
      <c r="H103" s="1354"/>
      <c r="I103" s="1354"/>
      <c r="J103" s="1355"/>
      <c r="K103" s="608"/>
      <c r="L103" s="789"/>
    </row>
    <row r="104" spans="1:12" s="16" customFormat="1" ht="52.15" customHeight="1">
      <c r="A104" s="363">
        <v>5</v>
      </c>
      <c r="B104" s="1289" t="s">
        <v>497</v>
      </c>
      <c r="C104" s="1290"/>
      <c r="D104" s="1291" t="s">
        <v>504</v>
      </c>
      <c r="E104" s="1292"/>
      <c r="F104" s="1292"/>
      <c r="G104" s="1292"/>
      <c r="H104" s="1292"/>
      <c r="I104" s="1292"/>
      <c r="J104" s="1293"/>
      <c r="K104" s="608"/>
      <c r="L104" s="789"/>
    </row>
    <row r="105" spans="1:12" s="16" customFormat="1" ht="120" customHeight="1">
      <c r="A105" s="363">
        <v>6</v>
      </c>
      <c r="B105" s="1289" t="s">
        <v>248</v>
      </c>
      <c r="C105" s="1290"/>
      <c r="D105" s="1291" t="str">
        <f>D64</f>
        <v xml:space="preserve">As formas de vigas e pilares deverão ser de tábua comum ou chapa de compensado tipo madeirite, as quais deverão ter  as amarrações e os escoramentos necessários para não sofrerem deslocamentos ou deformações quando do lançamento do concreto, fazendo com que por ocasião da desforma reproduza uma estrutura perfeita e alinhada.
Na retirada das formas deve se evitar choques mecânicos.
A execução das formas e seus escoramentos deverão garantir nivelamento, prumo, esquadro, paralelismo, alinhamento das peças e impedir o aparecimento de ondulações na superfície pronta do concreto.
</v>
      </c>
      <c r="E105" s="1292"/>
      <c r="F105" s="1292"/>
      <c r="G105" s="1292"/>
      <c r="H105" s="1292"/>
      <c r="I105" s="1292"/>
      <c r="J105" s="1293"/>
      <c r="K105" s="608"/>
      <c r="L105" s="789"/>
    </row>
    <row r="106" spans="1:12" s="16" customFormat="1" ht="44.45" customHeight="1">
      <c r="A106" s="363" t="s">
        <v>511</v>
      </c>
      <c r="B106" s="1289" t="s">
        <v>502</v>
      </c>
      <c r="C106" s="1290"/>
      <c r="D106" s="1291" t="s">
        <v>278</v>
      </c>
      <c r="E106" s="1292"/>
      <c r="F106" s="1292"/>
      <c r="G106" s="1292"/>
      <c r="H106" s="1292"/>
      <c r="I106" s="1292"/>
      <c r="J106" s="1293"/>
      <c r="K106" s="608"/>
      <c r="L106" s="789"/>
    </row>
    <row r="107" spans="1:12" s="16" customFormat="1" ht="24" customHeight="1">
      <c r="A107" s="363">
        <v>7</v>
      </c>
      <c r="B107" s="1289" t="s">
        <v>78</v>
      </c>
      <c r="C107" s="1290"/>
      <c r="D107" s="1291"/>
      <c r="E107" s="1292"/>
      <c r="F107" s="1292"/>
      <c r="G107" s="1292"/>
      <c r="H107" s="1292"/>
      <c r="I107" s="1292"/>
      <c r="J107" s="1293"/>
      <c r="K107" s="608"/>
      <c r="L107" s="789"/>
    </row>
    <row r="108" spans="1:12" s="16" customFormat="1" ht="116.45" customHeight="1">
      <c r="A108" s="363" t="s">
        <v>108</v>
      </c>
      <c r="B108" s="1289" t="s">
        <v>256</v>
      </c>
      <c r="C108" s="1290"/>
      <c r="D108" s="1291" t="s">
        <v>289</v>
      </c>
      <c r="E108" s="1292"/>
      <c r="F108" s="1292"/>
      <c r="G108" s="1292"/>
      <c r="H108" s="1292"/>
      <c r="I108" s="1292"/>
      <c r="J108" s="1293"/>
      <c r="K108" s="608"/>
      <c r="L108" s="789"/>
    </row>
    <row r="109" spans="1:12" s="16" customFormat="1" ht="81.599999999999994" customHeight="1">
      <c r="A109" s="363" t="s">
        <v>109</v>
      </c>
      <c r="B109" s="1289" t="s">
        <v>499</v>
      </c>
      <c r="C109" s="1290"/>
      <c r="D109" s="1291" t="s">
        <v>257</v>
      </c>
      <c r="E109" s="1292"/>
      <c r="F109" s="1292"/>
      <c r="G109" s="1292"/>
      <c r="H109" s="1292"/>
      <c r="I109" s="1292"/>
      <c r="J109" s="1293"/>
      <c r="K109" s="608"/>
      <c r="L109" s="789"/>
    </row>
    <row r="110" spans="1:12" s="16" customFormat="1" ht="58.15" customHeight="1">
      <c r="A110" s="363" t="s">
        <v>110</v>
      </c>
      <c r="B110" s="1289" t="s">
        <v>500</v>
      </c>
      <c r="C110" s="1290"/>
      <c r="D110" s="1291" t="s">
        <v>281</v>
      </c>
      <c r="E110" s="1292"/>
      <c r="F110" s="1292"/>
      <c r="G110" s="1292"/>
      <c r="H110" s="1292"/>
      <c r="I110" s="1292"/>
      <c r="J110" s="1293"/>
      <c r="K110" s="608"/>
      <c r="L110" s="789"/>
    </row>
    <row r="111" spans="1:12" s="16" customFormat="1" ht="50.45" customHeight="1">
      <c r="A111" s="363" t="s">
        <v>112</v>
      </c>
      <c r="B111" s="1289" t="s">
        <v>483</v>
      </c>
      <c r="C111" s="1290"/>
      <c r="D111" s="1291" t="s">
        <v>501</v>
      </c>
      <c r="E111" s="1292"/>
      <c r="F111" s="1292"/>
      <c r="G111" s="1292"/>
      <c r="H111" s="1292"/>
      <c r="I111" s="1292"/>
      <c r="J111" s="1293"/>
      <c r="K111" s="608"/>
      <c r="L111" s="789"/>
    </row>
    <row r="112" spans="1:12" s="16" customFormat="1" ht="37.9" customHeight="1" thickBot="1">
      <c r="A112" s="356" t="s">
        <v>114</v>
      </c>
      <c r="B112" s="1684" t="s">
        <v>487</v>
      </c>
      <c r="C112" s="1685"/>
      <c r="D112" s="1349" t="s">
        <v>512</v>
      </c>
      <c r="E112" s="1350"/>
      <c r="F112" s="1350"/>
      <c r="G112" s="1350"/>
      <c r="H112" s="1350"/>
      <c r="I112" s="1350"/>
      <c r="J112" s="1351"/>
      <c r="K112" s="608"/>
      <c r="L112" s="789"/>
    </row>
    <row r="113" spans="1:12" s="594" customFormat="1" ht="33.6" customHeight="1" thickTop="1">
      <c r="A113" s="592"/>
      <c r="B113" s="592"/>
      <c r="C113" s="592"/>
      <c r="D113" s="593"/>
      <c r="E113" s="593"/>
      <c r="F113" s="593"/>
      <c r="G113" s="593"/>
      <c r="H113" s="593"/>
      <c r="I113" s="632"/>
      <c r="J113" s="593"/>
      <c r="K113" s="612"/>
      <c r="L113" s="790"/>
    </row>
    <row r="114" spans="1:12" s="16" customFormat="1" ht="33.6" customHeight="1">
      <c r="A114" s="876"/>
      <c r="B114" s="876"/>
      <c r="C114" s="876"/>
      <c r="D114" s="344"/>
      <c r="E114" s="344"/>
      <c r="F114" s="344"/>
      <c r="G114" s="344"/>
      <c r="H114" s="344"/>
      <c r="I114" s="630"/>
      <c r="J114" s="344"/>
      <c r="K114" s="608"/>
      <c r="L114" s="789"/>
    </row>
    <row r="115" spans="1:12" s="16" customFormat="1" ht="33.6" customHeight="1">
      <c r="A115" s="876"/>
      <c r="B115" s="876"/>
      <c r="C115" s="876"/>
      <c r="D115" s="344"/>
      <c r="E115" s="344"/>
      <c r="F115" s="344"/>
      <c r="G115" s="344"/>
      <c r="H115" s="344"/>
      <c r="I115" s="630"/>
      <c r="J115" s="344"/>
      <c r="K115" s="608"/>
      <c r="L115" s="789"/>
    </row>
    <row r="116" spans="1:12" s="16" customFormat="1" ht="25.9" customHeight="1">
      <c r="A116" s="876"/>
      <c r="B116" s="876"/>
      <c r="C116" s="876"/>
      <c r="D116" s="344"/>
      <c r="E116" s="344"/>
      <c r="F116" s="344"/>
      <c r="G116" s="344"/>
      <c r="H116" s="344"/>
      <c r="I116" s="630"/>
      <c r="J116" s="344"/>
      <c r="K116" s="608"/>
      <c r="L116" s="789"/>
    </row>
    <row r="117" spans="1:12" s="16" customFormat="1" ht="25.9" customHeight="1">
      <c r="A117" s="876"/>
      <c r="B117" s="876"/>
      <c r="C117" s="876"/>
      <c r="D117" s="344"/>
      <c r="E117" s="344"/>
      <c r="F117" s="344"/>
      <c r="G117" s="344"/>
      <c r="H117" s="344"/>
      <c r="I117" s="630"/>
      <c r="J117" s="344"/>
      <c r="K117" s="608"/>
      <c r="L117" s="789"/>
    </row>
    <row r="118" spans="1:12" s="16" customFormat="1" ht="25.9" customHeight="1" thickBot="1">
      <c r="A118" s="367"/>
      <c r="B118" s="367"/>
      <c r="C118" s="367"/>
      <c r="D118" s="368"/>
      <c r="E118" s="368"/>
      <c r="F118" s="368"/>
      <c r="G118" s="368"/>
      <c r="H118" s="368"/>
      <c r="I118" s="631"/>
      <c r="J118" s="368"/>
      <c r="K118" s="608"/>
      <c r="L118" s="789"/>
    </row>
    <row r="119" spans="1:12" s="16" customFormat="1" ht="278.45" customHeight="1" thickTop="1">
      <c r="A119" s="363">
        <v>8</v>
      </c>
      <c r="B119" s="1688" t="s">
        <v>263</v>
      </c>
      <c r="C119" s="1689"/>
      <c r="D119" s="1679" t="s">
        <v>513</v>
      </c>
      <c r="E119" s="1389"/>
      <c r="F119" s="1389"/>
      <c r="G119" s="1389"/>
      <c r="H119" s="1389"/>
      <c r="I119" s="1389"/>
      <c r="J119" s="1680"/>
      <c r="K119" s="608"/>
      <c r="L119" s="789"/>
    </row>
    <row r="120" spans="1:12" s="16" customFormat="1" ht="47.45" customHeight="1">
      <c r="A120" s="363">
        <v>9</v>
      </c>
      <c r="B120" s="1289" t="s">
        <v>261</v>
      </c>
      <c r="C120" s="1290"/>
      <c r="D120" s="1291" t="s">
        <v>262</v>
      </c>
      <c r="E120" s="1292"/>
      <c r="F120" s="1292"/>
      <c r="G120" s="1292"/>
      <c r="H120" s="1292"/>
      <c r="I120" s="1292"/>
      <c r="J120" s="1293"/>
      <c r="K120" s="608"/>
      <c r="L120" s="789"/>
    </row>
    <row r="121" spans="1:12" s="16" customFormat="1" ht="34.9" customHeight="1">
      <c r="A121" s="363">
        <v>10</v>
      </c>
      <c r="B121" s="1289" t="s">
        <v>190</v>
      </c>
      <c r="C121" s="1290"/>
      <c r="D121" s="1291" t="s">
        <v>503</v>
      </c>
      <c r="E121" s="1292"/>
      <c r="F121" s="1292"/>
      <c r="G121" s="1292"/>
      <c r="H121" s="1292"/>
      <c r="I121" s="1292"/>
      <c r="J121" s="1293"/>
      <c r="K121" s="608"/>
      <c r="L121" s="789"/>
    </row>
    <row r="122" spans="1:12" s="16" customFormat="1" ht="22.15" customHeight="1" thickBot="1">
      <c r="A122" s="356">
        <v>11</v>
      </c>
      <c r="B122" s="1684" t="s">
        <v>195</v>
      </c>
      <c r="C122" s="1685"/>
      <c r="D122" s="1349" t="s">
        <v>280</v>
      </c>
      <c r="E122" s="1350"/>
      <c r="F122" s="1350"/>
      <c r="G122" s="1350"/>
      <c r="H122" s="1350"/>
      <c r="I122" s="1350"/>
      <c r="J122" s="1351"/>
      <c r="K122" s="608"/>
      <c r="L122" s="789"/>
    </row>
    <row r="123" spans="1:12" s="16" customFormat="1" ht="17.45" customHeight="1" thickTop="1">
      <c r="A123" s="876"/>
      <c r="B123" s="876"/>
      <c r="C123" s="876"/>
      <c r="D123" s="344"/>
      <c r="E123" s="344"/>
      <c r="F123" s="344"/>
      <c r="G123" s="344"/>
      <c r="H123" s="344"/>
      <c r="I123" s="630"/>
      <c r="J123" s="344"/>
      <c r="K123" s="608"/>
      <c r="L123" s="789"/>
    </row>
    <row r="124" spans="1:12" s="16" customFormat="1" ht="18.600000000000001" customHeight="1">
      <c r="A124" s="876"/>
      <c r="B124" s="876"/>
      <c r="C124" s="876"/>
      <c r="D124" s="344"/>
      <c r="E124" s="344"/>
      <c r="F124" s="344"/>
      <c r="G124" s="344"/>
      <c r="H124" s="344"/>
      <c r="I124" s="630"/>
      <c r="J124" s="344"/>
      <c r="K124" s="608"/>
      <c r="L124" s="789"/>
    </row>
    <row r="125" spans="1:12" s="16" customFormat="1" ht="13.15" customHeight="1" thickBot="1">
      <c r="A125" s="367"/>
      <c r="B125" s="367"/>
      <c r="C125" s="367"/>
      <c r="D125" s="368"/>
      <c r="E125" s="368"/>
      <c r="F125" s="368"/>
      <c r="G125" s="368"/>
      <c r="H125" s="368"/>
      <c r="I125" s="631"/>
      <c r="J125" s="368"/>
      <c r="K125" s="608"/>
      <c r="L125" s="789"/>
    </row>
    <row r="126" spans="1:12" s="16" customFormat="1" ht="15" customHeight="1" thickTop="1">
      <c r="A126" s="1686" t="s">
        <v>465</v>
      </c>
      <c r="B126" s="1337"/>
      <c r="C126" s="1337"/>
      <c r="D126" s="1337"/>
      <c r="E126" s="1337"/>
      <c r="F126" s="1337"/>
      <c r="G126" s="1337"/>
      <c r="H126" s="1337"/>
      <c r="I126" s="1337"/>
      <c r="J126" s="1687"/>
      <c r="K126" s="585"/>
      <c r="L126" s="789"/>
    </row>
    <row r="127" spans="1:12" s="16" customFormat="1" ht="105.6" customHeight="1">
      <c r="A127" s="906" t="s">
        <v>406</v>
      </c>
      <c r="B127" s="1294" t="s">
        <v>91</v>
      </c>
      <c r="C127" s="1294"/>
      <c r="D127" s="1368" t="s">
        <v>358</v>
      </c>
      <c r="E127" s="1368"/>
      <c r="F127" s="1368"/>
      <c r="G127" s="1368"/>
      <c r="H127" s="1368"/>
      <c r="I127" s="1368"/>
      <c r="J127" s="1369"/>
      <c r="K127" s="608"/>
      <c r="L127" s="789"/>
    </row>
    <row r="128" spans="1:12" s="16" customFormat="1" ht="63" customHeight="1">
      <c r="A128" s="906" t="s">
        <v>405</v>
      </c>
      <c r="B128" s="1294" t="s">
        <v>356</v>
      </c>
      <c r="C128" s="1294"/>
      <c r="D128" s="1346" t="s">
        <v>359</v>
      </c>
      <c r="E128" s="1347"/>
      <c r="F128" s="1347"/>
      <c r="G128" s="1347"/>
      <c r="H128" s="1347"/>
      <c r="I128" s="1347"/>
      <c r="J128" s="1348"/>
      <c r="K128" s="608"/>
      <c r="L128" s="789"/>
    </row>
    <row r="129" spans="1:12" s="16" customFormat="1" ht="146.44999999999999" customHeight="1">
      <c r="A129" s="363" t="s">
        <v>407</v>
      </c>
      <c r="B129" s="1496" t="s">
        <v>208</v>
      </c>
      <c r="C129" s="1496"/>
      <c r="D129" s="1679" t="s">
        <v>398</v>
      </c>
      <c r="E129" s="1389"/>
      <c r="F129" s="1389"/>
      <c r="G129" s="1389"/>
      <c r="H129" s="1389"/>
      <c r="I129" s="1389"/>
      <c r="J129" s="1680"/>
      <c r="K129" s="608"/>
      <c r="L129" s="789"/>
    </row>
    <row r="130" spans="1:12" s="16" customFormat="1" ht="78.599999999999994" customHeight="1" thickBot="1">
      <c r="A130" s="356" t="s">
        <v>408</v>
      </c>
      <c r="B130" s="1342" t="s">
        <v>350</v>
      </c>
      <c r="C130" s="1342"/>
      <c r="D130" s="1343" t="s">
        <v>360</v>
      </c>
      <c r="E130" s="1344"/>
      <c r="F130" s="1344"/>
      <c r="G130" s="1344"/>
      <c r="H130" s="1344"/>
      <c r="I130" s="1344"/>
      <c r="J130" s="1345"/>
      <c r="K130" s="608"/>
      <c r="L130" s="789"/>
    </row>
    <row r="131" spans="1:12" s="16" customFormat="1" ht="12" customHeight="1" thickTop="1">
      <c r="A131" s="509"/>
      <c r="B131" s="876"/>
      <c r="C131" s="876"/>
      <c r="D131" s="876"/>
      <c r="E131" s="876"/>
      <c r="F131" s="876"/>
      <c r="G131" s="290"/>
      <c r="H131" s="290"/>
      <c r="I131" s="633"/>
      <c r="J131" s="509"/>
      <c r="K131" s="501"/>
      <c r="L131" s="789"/>
    </row>
    <row r="132" spans="1:12" s="16" customFormat="1" ht="12" customHeight="1">
      <c r="A132" s="876"/>
      <c r="B132" s="876"/>
      <c r="C132" s="876"/>
      <c r="D132" s="876"/>
      <c r="E132" s="876"/>
      <c r="F132" s="876"/>
      <c r="G132" s="290"/>
      <c r="H132" s="290"/>
      <c r="I132" s="633"/>
      <c r="J132" s="876"/>
      <c r="K132" s="501"/>
      <c r="L132" s="789"/>
    </row>
    <row r="133" spans="1:12" s="16" customFormat="1" ht="12" customHeight="1">
      <c r="A133" s="876"/>
      <c r="B133" s="876"/>
      <c r="C133" s="876"/>
      <c r="D133" s="876"/>
      <c r="E133" s="876"/>
      <c r="F133" s="876"/>
      <c r="G133" s="290"/>
      <c r="H133" s="290"/>
      <c r="I133" s="633"/>
      <c r="J133" s="876"/>
      <c r="K133" s="501"/>
      <c r="L133" s="789"/>
    </row>
    <row r="134" spans="1:12" s="16" customFormat="1" ht="12" customHeight="1" thickBot="1">
      <c r="A134" s="367"/>
      <c r="B134" s="367"/>
      <c r="C134" s="367"/>
      <c r="D134" s="367"/>
      <c r="E134" s="367"/>
      <c r="F134" s="367"/>
      <c r="G134" s="398"/>
      <c r="H134" s="398"/>
      <c r="I134" s="634"/>
      <c r="J134" s="367"/>
      <c r="K134" s="501"/>
      <c r="L134" s="789"/>
    </row>
    <row r="135" spans="1:12" s="16" customFormat="1" ht="13.15" customHeight="1" thickTop="1">
      <c r="A135" s="1681" t="s">
        <v>11</v>
      </c>
      <c r="B135" s="1682"/>
      <c r="C135" s="1682"/>
      <c r="D135" s="1682"/>
      <c r="E135" s="1682"/>
      <c r="F135" s="1682"/>
      <c r="G135" s="1682"/>
      <c r="H135" s="1682"/>
      <c r="I135" s="1682"/>
      <c r="J135" s="1683"/>
      <c r="K135" s="681"/>
      <c r="L135" s="789"/>
    </row>
    <row r="136" spans="1:12" s="16" customFormat="1" ht="13.9" customHeight="1">
      <c r="A136" s="1384" t="s">
        <v>12</v>
      </c>
      <c r="B136" s="1372"/>
      <c r="C136" s="1372"/>
      <c r="D136" s="1372"/>
      <c r="E136" s="1372"/>
      <c r="F136" s="1372"/>
      <c r="G136" s="1372"/>
      <c r="H136" s="1372"/>
      <c r="I136" s="1372"/>
      <c r="J136" s="1470"/>
      <c r="K136" s="682"/>
      <c r="L136" s="789"/>
    </row>
    <row r="137" spans="1:12" s="16" customFormat="1" ht="13.9" customHeight="1">
      <c r="A137" s="1385" t="s">
        <v>374</v>
      </c>
      <c r="B137" s="1386"/>
      <c r="C137" s="1386"/>
      <c r="D137" s="1386"/>
      <c r="E137" s="1386"/>
      <c r="F137" s="1386"/>
      <c r="G137" s="1386"/>
      <c r="H137" s="1386"/>
      <c r="I137" s="1386"/>
      <c r="J137" s="1677"/>
      <c r="K137" s="681"/>
      <c r="L137" s="789"/>
    </row>
    <row r="138" spans="1:12" s="16" customFormat="1" ht="12" customHeight="1">
      <c r="A138" s="1384" t="s">
        <v>13</v>
      </c>
      <c r="B138" s="1372"/>
      <c r="C138" s="1372"/>
      <c r="D138" s="1372"/>
      <c r="E138" s="1372"/>
      <c r="F138" s="1372"/>
      <c r="G138" s="1372"/>
      <c r="H138" s="1372"/>
      <c r="I138" s="1372"/>
      <c r="J138" s="1470"/>
      <c r="K138" s="682"/>
      <c r="L138" s="789"/>
    </row>
    <row r="139" spans="1:12" s="16" customFormat="1" ht="13.9" customHeight="1">
      <c r="A139" s="1339" t="s">
        <v>425</v>
      </c>
      <c r="B139" s="1340"/>
      <c r="C139" s="1340"/>
      <c r="D139" s="1340"/>
      <c r="E139" s="1340"/>
      <c r="F139" s="1340"/>
      <c r="G139" s="1340"/>
      <c r="H139" s="1340"/>
      <c r="I139" s="1340"/>
      <c r="J139" s="1678"/>
      <c r="K139" s="681"/>
      <c r="L139" s="789"/>
    </row>
    <row r="140" spans="1:12" s="16" customFormat="1" ht="13.9" customHeight="1">
      <c r="A140" s="1339" t="s">
        <v>14</v>
      </c>
      <c r="B140" s="1340"/>
      <c r="C140" s="1340"/>
      <c r="D140" s="1340"/>
      <c r="E140" s="1340"/>
      <c r="F140" s="1340"/>
      <c r="G140" s="1340"/>
      <c r="H140" s="1340"/>
      <c r="I140" s="1340"/>
      <c r="J140" s="1678"/>
      <c r="K140" s="681"/>
      <c r="L140" s="789"/>
    </row>
    <row r="141" spans="1:12" s="16" customFormat="1" ht="12" customHeight="1">
      <c r="A141" s="1380" t="s">
        <v>355</v>
      </c>
      <c r="B141" s="1326" t="s">
        <v>285</v>
      </c>
      <c r="C141" s="1326"/>
      <c r="D141" s="1326"/>
      <c r="E141" s="1326"/>
      <c r="F141" s="1326"/>
      <c r="G141" s="178" t="s">
        <v>15</v>
      </c>
      <c r="H141" s="178" t="s">
        <v>16</v>
      </c>
      <c r="I141" s="635" t="s">
        <v>17</v>
      </c>
      <c r="J141" s="661" t="s">
        <v>19</v>
      </c>
      <c r="K141" s="683"/>
      <c r="L141" s="789"/>
    </row>
    <row r="142" spans="1:12" s="16" customFormat="1" ht="25.5">
      <c r="A142" s="1381"/>
      <c r="B142" s="1326"/>
      <c r="C142" s="1326"/>
      <c r="D142" s="1326"/>
      <c r="E142" s="1326"/>
      <c r="F142" s="1326"/>
      <c r="G142" s="910" t="s">
        <v>287</v>
      </c>
      <c r="H142" s="910" t="s">
        <v>288</v>
      </c>
      <c r="I142" s="636" t="s">
        <v>18</v>
      </c>
      <c r="J142" s="911" t="s">
        <v>20</v>
      </c>
      <c r="K142" s="684" t="s">
        <v>531</v>
      </c>
      <c r="L142" s="789"/>
    </row>
    <row r="143" spans="1:12" s="16" customFormat="1" ht="12.6" customHeight="1">
      <c r="A143" s="378"/>
      <c r="B143" s="1316" t="s">
        <v>205</v>
      </c>
      <c r="C143" s="1317"/>
      <c r="D143" s="1317"/>
      <c r="E143" s="1317"/>
      <c r="F143" s="1318"/>
      <c r="G143" s="578"/>
      <c r="H143" s="578"/>
      <c r="I143" s="914"/>
      <c r="J143" s="662"/>
      <c r="K143" s="718"/>
      <c r="L143" s="789"/>
    </row>
    <row r="144" spans="1:12" s="16" customFormat="1" ht="12.6" customHeight="1">
      <c r="A144" s="380">
        <v>1</v>
      </c>
      <c r="B144" s="1322" t="s">
        <v>36</v>
      </c>
      <c r="C144" s="1322"/>
      <c r="D144" s="1322"/>
      <c r="E144" s="1322"/>
      <c r="F144" s="1322"/>
      <c r="G144" s="181"/>
      <c r="H144" s="182"/>
      <c r="I144" s="637"/>
      <c r="J144" s="663">
        <f>ROUND(SUM(J145:J149),2)</f>
        <v>17245.95</v>
      </c>
      <c r="K144" s="719"/>
      <c r="L144" s="789"/>
    </row>
    <row r="145" spans="1:13" s="759" customFormat="1" ht="13.9" customHeight="1">
      <c r="A145" s="755" t="s">
        <v>37</v>
      </c>
      <c r="B145" s="1664" t="s">
        <v>40</v>
      </c>
      <c r="C145" s="1664"/>
      <c r="D145" s="1664"/>
      <c r="E145" s="1664"/>
      <c r="F145" s="1664"/>
      <c r="G145" s="756">
        <v>598.64</v>
      </c>
      <c r="H145" s="757" t="s">
        <v>92</v>
      </c>
      <c r="I145" s="860">
        <f>Plan1!I141*92%</f>
        <v>5.0140000000000002</v>
      </c>
      <c r="J145" s="744">
        <f t="shared" ref="J145:J148" si="0">ROUND(SUM(G145*I145),2)</f>
        <v>3001.58</v>
      </c>
      <c r="K145" s="758" t="s">
        <v>543</v>
      </c>
      <c r="L145" s="791">
        <f>J145</f>
        <v>3001.58</v>
      </c>
      <c r="M145" s="865">
        <f>J144-L145</f>
        <v>14244.37</v>
      </c>
    </row>
    <row r="146" spans="1:13" s="266" customFormat="1" ht="43.9" customHeight="1">
      <c r="A146" s="983" t="s">
        <v>39</v>
      </c>
      <c r="B146" s="1714" t="s">
        <v>364</v>
      </c>
      <c r="C146" s="1715"/>
      <c r="D146" s="1715"/>
      <c r="E146" s="1715"/>
      <c r="F146" s="1716"/>
      <c r="G146" s="1016">
        <v>372.46</v>
      </c>
      <c r="H146" s="1008" t="s">
        <v>92</v>
      </c>
      <c r="I146" s="1009">
        <f>I422</f>
        <v>15</v>
      </c>
      <c r="J146" s="1017">
        <f t="shared" si="0"/>
        <v>5586.9</v>
      </c>
      <c r="K146" s="1011" t="s">
        <v>551</v>
      </c>
      <c r="L146" s="792"/>
      <c r="M146" s="866"/>
    </row>
    <row r="147" spans="1:13" s="266" customFormat="1" ht="27" customHeight="1">
      <c r="A147" s="969" t="s">
        <v>345</v>
      </c>
      <c r="B147" s="1703" t="s">
        <v>93</v>
      </c>
      <c r="C147" s="1704"/>
      <c r="D147" s="1704"/>
      <c r="E147" s="1704"/>
      <c r="F147" s="1705"/>
      <c r="G147" s="970">
        <v>691.27</v>
      </c>
      <c r="H147" s="971" t="s">
        <v>38</v>
      </c>
      <c r="I147" s="972">
        <v>3.2</v>
      </c>
      <c r="J147" s="973">
        <f t="shared" si="0"/>
        <v>2212.06</v>
      </c>
      <c r="K147" s="974" t="s">
        <v>604</v>
      </c>
      <c r="L147" s="792"/>
      <c r="M147" s="866"/>
    </row>
    <row r="148" spans="1:13" s="266" customFormat="1" ht="26.45" customHeight="1">
      <c r="A148" s="969" t="s">
        <v>347</v>
      </c>
      <c r="B148" s="1703" t="s">
        <v>363</v>
      </c>
      <c r="C148" s="1704"/>
      <c r="D148" s="1704"/>
      <c r="E148" s="1704"/>
      <c r="F148" s="1705"/>
      <c r="G148" s="970">
        <v>372.46</v>
      </c>
      <c r="H148" s="971" t="s">
        <v>92</v>
      </c>
      <c r="I148" s="972">
        <v>6.66</v>
      </c>
      <c r="J148" s="973">
        <f t="shared" si="0"/>
        <v>2480.58</v>
      </c>
      <c r="K148" s="974" t="s">
        <v>605</v>
      </c>
      <c r="L148" s="792"/>
      <c r="M148" s="866"/>
    </row>
    <row r="149" spans="1:13" s="266" customFormat="1" ht="27.6" customHeight="1">
      <c r="A149" s="969" t="s">
        <v>349</v>
      </c>
      <c r="B149" s="1703" t="s">
        <v>346</v>
      </c>
      <c r="C149" s="1704"/>
      <c r="D149" s="1704"/>
      <c r="E149" s="1704"/>
      <c r="F149" s="1705"/>
      <c r="G149" s="970">
        <v>241.17</v>
      </c>
      <c r="H149" s="971" t="s">
        <v>96</v>
      </c>
      <c r="I149" s="972">
        <v>16.440000000000001</v>
      </c>
      <c r="J149" s="973">
        <f>ROUND(SUM(G149*I149),2)</f>
        <v>3964.83</v>
      </c>
      <c r="K149" s="974" t="s">
        <v>606</v>
      </c>
      <c r="L149" s="792"/>
      <c r="M149" s="866"/>
    </row>
    <row r="150" spans="1:13" s="16" customFormat="1" ht="11.45" customHeight="1">
      <c r="A150" s="382"/>
      <c r="B150" s="1444"/>
      <c r="C150" s="1445"/>
      <c r="D150" s="1445"/>
      <c r="E150" s="1445"/>
      <c r="F150" s="1446"/>
      <c r="G150" s="184"/>
      <c r="H150" s="894"/>
      <c r="I150" s="190"/>
      <c r="J150" s="665"/>
      <c r="K150" s="685"/>
      <c r="L150" s="789"/>
      <c r="M150" s="800"/>
    </row>
    <row r="151" spans="1:13" s="16" customFormat="1" ht="13.9" customHeight="1">
      <c r="A151" s="380">
        <v>2</v>
      </c>
      <c r="B151" s="1322" t="s">
        <v>42</v>
      </c>
      <c r="C151" s="1322"/>
      <c r="D151" s="1322"/>
      <c r="E151" s="1322"/>
      <c r="F151" s="1322"/>
      <c r="G151" s="291"/>
      <c r="H151" s="182"/>
      <c r="I151" s="638"/>
      <c r="J151" s="666">
        <f>SUM(J152:J155)</f>
        <v>59299.51</v>
      </c>
      <c r="K151" s="532"/>
      <c r="L151" s="789"/>
      <c r="M151" s="800"/>
    </row>
    <row r="152" spans="1:13" s="759" customFormat="1" ht="13.9" customHeight="1">
      <c r="A152" s="760" t="s">
        <v>84</v>
      </c>
      <c r="B152" s="1663" t="s">
        <v>44</v>
      </c>
      <c r="C152" s="1663"/>
      <c r="D152" s="1663"/>
      <c r="E152" s="1663"/>
      <c r="F152" s="1663"/>
      <c r="G152" s="761">
        <v>6306</v>
      </c>
      <c r="H152" s="757" t="s">
        <v>50</v>
      </c>
      <c r="I152" s="860">
        <f>Plan1!I144*92%</f>
        <v>5.0784000000000002</v>
      </c>
      <c r="J152" s="745">
        <f>ROUND(G152*I152,2)</f>
        <v>32024.39</v>
      </c>
      <c r="K152" s="1651" t="s">
        <v>543</v>
      </c>
      <c r="L152" s="791">
        <f>J152</f>
        <v>32024.39</v>
      </c>
      <c r="M152" s="865"/>
    </row>
    <row r="153" spans="1:13" s="759" customFormat="1" ht="13.9" customHeight="1">
      <c r="A153" s="760" t="s">
        <v>43</v>
      </c>
      <c r="B153" s="1663" t="s">
        <v>46</v>
      </c>
      <c r="C153" s="1663"/>
      <c r="D153" s="1663"/>
      <c r="E153" s="1663"/>
      <c r="F153" s="1663"/>
      <c r="G153" s="756">
        <v>85.14</v>
      </c>
      <c r="H153" s="757" t="s">
        <v>92</v>
      </c>
      <c r="I153" s="860">
        <f>Plan1!I145*92%</f>
        <v>227.6172</v>
      </c>
      <c r="J153" s="745">
        <f t="shared" ref="J153:J155" si="1">ROUND(G153*I153,2)</f>
        <v>19379.330000000002</v>
      </c>
      <c r="K153" s="1652"/>
      <c r="L153" s="791">
        <f t="shared" ref="L153:L155" si="2">J153</f>
        <v>19379.330000000002</v>
      </c>
      <c r="M153" s="865"/>
    </row>
    <row r="154" spans="1:13" s="759" customFormat="1" ht="13.9" customHeight="1">
      <c r="A154" s="760" t="s">
        <v>240</v>
      </c>
      <c r="B154" s="1663" t="s">
        <v>321</v>
      </c>
      <c r="C154" s="1663"/>
      <c r="D154" s="1663"/>
      <c r="E154" s="1663"/>
      <c r="F154" s="1663"/>
      <c r="G154" s="756">
        <v>85.14</v>
      </c>
      <c r="H154" s="757" t="s">
        <v>92</v>
      </c>
      <c r="I154" s="860">
        <f>Plan1!I146*92%</f>
        <v>55.384000000000007</v>
      </c>
      <c r="J154" s="745">
        <f t="shared" si="1"/>
        <v>4715.3900000000003</v>
      </c>
      <c r="K154" s="1652"/>
      <c r="L154" s="791">
        <f t="shared" si="2"/>
        <v>4715.3900000000003</v>
      </c>
      <c r="M154" s="865"/>
    </row>
    <row r="155" spans="1:13" s="759" customFormat="1" ht="13.9" customHeight="1">
      <c r="A155" s="760" t="s">
        <v>45</v>
      </c>
      <c r="B155" s="1663" t="s">
        <v>49</v>
      </c>
      <c r="C155" s="1663"/>
      <c r="D155" s="1663"/>
      <c r="E155" s="1663"/>
      <c r="F155" s="1663"/>
      <c r="G155" s="756">
        <v>96</v>
      </c>
      <c r="H155" s="757" t="s">
        <v>52</v>
      </c>
      <c r="I155" s="860">
        <f>Plan1!I147*92%</f>
        <v>33.129199999999997</v>
      </c>
      <c r="J155" s="745">
        <f t="shared" si="1"/>
        <v>3180.4</v>
      </c>
      <c r="K155" s="1653"/>
      <c r="L155" s="791">
        <f t="shared" si="2"/>
        <v>3180.4</v>
      </c>
      <c r="M155" s="865"/>
    </row>
    <row r="156" spans="1:13" s="16" customFormat="1" ht="12" customHeight="1">
      <c r="A156" s="564"/>
      <c r="B156" s="900"/>
      <c r="C156" s="900"/>
      <c r="D156" s="900"/>
      <c r="E156" s="900"/>
      <c r="F156" s="900"/>
      <c r="G156" s="522"/>
      <c r="H156" s="896"/>
      <c r="I156" s="639"/>
      <c r="J156" s="563"/>
      <c r="K156" s="685"/>
      <c r="L156" s="793"/>
      <c r="M156" s="800"/>
    </row>
    <row r="157" spans="1:13" s="16" customFormat="1" ht="13.9" customHeight="1">
      <c r="A157" s="439">
        <v>3</v>
      </c>
      <c r="B157" s="1301" t="s">
        <v>53</v>
      </c>
      <c r="C157" s="1302"/>
      <c r="D157" s="1302"/>
      <c r="E157" s="1302"/>
      <c r="F157" s="1303"/>
      <c r="G157" s="549"/>
      <c r="H157" s="222"/>
      <c r="I157" s="640"/>
      <c r="J157" s="667">
        <f>SUM(J158)</f>
        <v>3159.05</v>
      </c>
      <c r="K157" s="532"/>
      <c r="L157" s="789"/>
      <c r="M157" s="800"/>
    </row>
    <row r="158" spans="1:13" s="759" customFormat="1" ht="16.899999999999999" customHeight="1">
      <c r="A158" s="760" t="s">
        <v>54</v>
      </c>
      <c r="B158" s="1648" t="s">
        <v>313</v>
      </c>
      <c r="C158" s="1649"/>
      <c r="D158" s="1649"/>
      <c r="E158" s="1649"/>
      <c r="F158" s="1650"/>
      <c r="G158" s="762">
        <v>68.13</v>
      </c>
      <c r="H158" s="757" t="s">
        <v>96</v>
      </c>
      <c r="I158" s="860">
        <f>Plan1!I150*92%</f>
        <v>46.368000000000002</v>
      </c>
      <c r="J158" s="746">
        <f>ROUND(G158*I158,2)</f>
        <v>3159.05</v>
      </c>
      <c r="K158" s="763" t="s">
        <v>543</v>
      </c>
      <c r="L158" s="791">
        <f>J158</f>
        <v>3159.05</v>
      </c>
      <c r="M158" s="865"/>
    </row>
    <row r="159" spans="1:13" s="16" customFormat="1" ht="12" customHeight="1">
      <c r="A159" s="358"/>
      <c r="B159" s="1356"/>
      <c r="C159" s="1356"/>
      <c r="D159" s="1356"/>
      <c r="E159" s="1356"/>
      <c r="F159" s="1356"/>
      <c r="G159" s="178"/>
      <c r="H159" s="195"/>
      <c r="I159" s="190"/>
      <c r="J159" s="668"/>
      <c r="K159" s="689"/>
      <c r="L159" s="789"/>
      <c r="M159" s="800"/>
    </row>
    <row r="160" spans="1:13" s="16" customFormat="1" ht="13.9" customHeight="1">
      <c r="A160" s="380">
        <v>4</v>
      </c>
      <c r="B160" s="1322" t="s">
        <v>63</v>
      </c>
      <c r="C160" s="1322"/>
      <c r="D160" s="1322"/>
      <c r="E160" s="1322"/>
      <c r="F160" s="1322"/>
      <c r="G160" s="182"/>
      <c r="H160" s="189"/>
      <c r="I160" s="638"/>
      <c r="J160" s="666">
        <f>SUM(J161:J166)</f>
        <v>55373.26</v>
      </c>
      <c r="K160" s="532"/>
      <c r="L160" s="789"/>
      <c r="M160" s="800"/>
    </row>
    <row r="161" spans="1:13" s="759" customFormat="1" ht="13.9" customHeight="1">
      <c r="A161" s="764" t="s">
        <v>58</v>
      </c>
      <c r="B161" s="1664" t="s">
        <v>44</v>
      </c>
      <c r="C161" s="1664"/>
      <c r="D161" s="1664"/>
      <c r="E161" s="1664"/>
      <c r="F161" s="1664"/>
      <c r="G161" s="761">
        <v>957.6</v>
      </c>
      <c r="H161" s="757" t="s">
        <v>50</v>
      </c>
      <c r="I161" s="860">
        <f>Plan1!I153*92%</f>
        <v>5.0784000000000002</v>
      </c>
      <c r="J161" s="747">
        <f>ROUND(G161*I161,2)</f>
        <v>4863.08</v>
      </c>
      <c r="K161" s="1651" t="s">
        <v>543</v>
      </c>
      <c r="L161" s="791">
        <f>J161</f>
        <v>4863.08</v>
      </c>
      <c r="M161" s="865"/>
    </row>
    <row r="162" spans="1:13" s="765" customFormat="1" ht="13.9" customHeight="1">
      <c r="A162" s="764" t="s">
        <v>59</v>
      </c>
      <c r="B162" s="1664" t="s">
        <v>56</v>
      </c>
      <c r="C162" s="1664"/>
      <c r="D162" s="1664"/>
      <c r="E162" s="1664"/>
      <c r="F162" s="1664"/>
      <c r="G162" s="761">
        <v>77.599999999999994</v>
      </c>
      <c r="H162" s="757" t="s">
        <v>38</v>
      </c>
      <c r="I162" s="860">
        <f>Plan1!I154*92%</f>
        <v>42.264800000000001</v>
      </c>
      <c r="J162" s="747">
        <f t="shared" ref="J162:J166" si="3">ROUND(G162*I162,2)</f>
        <v>3279.75</v>
      </c>
      <c r="K162" s="1652"/>
      <c r="L162" s="791">
        <f t="shared" ref="L162:L165" si="4">J162</f>
        <v>3279.75</v>
      </c>
      <c r="M162" s="867"/>
    </row>
    <row r="163" spans="1:13" s="765" customFormat="1" ht="13.9" customHeight="1">
      <c r="A163" s="764" t="s">
        <v>60</v>
      </c>
      <c r="B163" s="1664" t="s">
        <v>46</v>
      </c>
      <c r="C163" s="1664"/>
      <c r="D163" s="1664"/>
      <c r="E163" s="1664"/>
      <c r="F163" s="1664"/>
      <c r="G163" s="761">
        <v>11.97</v>
      </c>
      <c r="H163" s="757" t="s">
        <v>51</v>
      </c>
      <c r="I163" s="860">
        <f>Plan1!I155*92%</f>
        <v>227.6172</v>
      </c>
      <c r="J163" s="747">
        <f t="shared" si="3"/>
        <v>2724.58</v>
      </c>
      <c r="K163" s="1652"/>
      <c r="L163" s="791">
        <f t="shared" si="4"/>
        <v>2724.58</v>
      </c>
      <c r="M163" s="867"/>
    </row>
    <row r="164" spans="1:13" s="765" customFormat="1" ht="13.9" customHeight="1">
      <c r="A164" s="764" t="s">
        <v>61</v>
      </c>
      <c r="B164" s="1664" t="s">
        <v>321</v>
      </c>
      <c r="C164" s="1664"/>
      <c r="D164" s="1664"/>
      <c r="E164" s="1664"/>
      <c r="F164" s="1664"/>
      <c r="G164" s="761">
        <v>11.97</v>
      </c>
      <c r="H164" s="757" t="s">
        <v>51</v>
      </c>
      <c r="I164" s="860">
        <f>Plan1!I156*92%</f>
        <v>55.384000000000007</v>
      </c>
      <c r="J164" s="747">
        <f t="shared" si="3"/>
        <v>662.95</v>
      </c>
      <c r="K164" s="1652"/>
      <c r="L164" s="791">
        <f t="shared" si="4"/>
        <v>662.95</v>
      </c>
      <c r="M164" s="867"/>
    </row>
    <row r="165" spans="1:13" s="765" customFormat="1" ht="26.45" customHeight="1">
      <c r="A165" s="764" t="s">
        <v>62</v>
      </c>
      <c r="B165" s="1663" t="s">
        <v>57</v>
      </c>
      <c r="C165" s="1663"/>
      <c r="D165" s="1663"/>
      <c r="E165" s="1663"/>
      <c r="F165" s="1663"/>
      <c r="G165" s="761">
        <v>38</v>
      </c>
      <c r="H165" s="757" t="s">
        <v>96</v>
      </c>
      <c r="I165" s="860">
        <v>736.75</v>
      </c>
      <c r="J165" s="747">
        <f t="shared" si="3"/>
        <v>27996.5</v>
      </c>
      <c r="K165" s="1653"/>
      <c r="L165" s="791">
        <f t="shared" si="4"/>
        <v>27996.5</v>
      </c>
      <c r="M165" s="867"/>
    </row>
    <row r="166" spans="1:13" s="266" customFormat="1" ht="26.45" customHeight="1">
      <c r="A166" s="975" t="s">
        <v>597</v>
      </c>
      <c r="B166" s="1709" t="s">
        <v>57</v>
      </c>
      <c r="C166" s="1709"/>
      <c r="D166" s="1709"/>
      <c r="E166" s="1709"/>
      <c r="F166" s="1709"/>
      <c r="G166" s="976">
        <v>9.17</v>
      </c>
      <c r="H166" s="977" t="s">
        <v>96</v>
      </c>
      <c r="I166" s="972">
        <v>1728.07</v>
      </c>
      <c r="J166" s="978">
        <f t="shared" si="3"/>
        <v>15846.4</v>
      </c>
      <c r="K166" s="974" t="s">
        <v>607</v>
      </c>
      <c r="L166" s="792"/>
      <c r="M166" s="866"/>
    </row>
    <row r="167" spans="1:13" s="16" customFormat="1" ht="12.6" customHeight="1">
      <c r="A167" s="391"/>
      <c r="B167" s="915"/>
      <c r="C167" s="916"/>
      <c r="D167" s="916"/>
      <c r="E167" s="916"/>
      <c r="F167" s="917"/>
      <c r="G167" s="201"/>
      <c r="H167" s="202"/>
      <c r="I167" s="196"/>
      <c r="J167" s="671"/>
      <c r="K167" s="690"/>
      <c r="L167" s="789"/>
      <c r="M167" s="800"/>
    </row>
    <row r="168" spans="1:13" s="16" customFormat="1" ht="13.15" customHeight="1">
      <c r="A168" s="393">
        <v>5</v>
      </c>
      <c r="B168" s="1336" t="s">
        <v>78</v>
      </c>
      <c r="C168" s="1337"/>
      <c r="D168" s="1337"/>
      <c r="E168" s="1337"/>
      <c r="F168" s="1338"/>
      <c r="G168" s="292"/>
      <c r="H168" s="204"/>
      <c r="I168" s="276"/>
      <c r="J168" s="667">
        <f>SUM(J169:J179)</f>
        <v>85215.492425230332</v>
      </c>
      <c r="K168" s="532"/>
      <c r="L168" s="789"/>
      <c r="M168" s="800"/>
    </row>
    <row r="169" spans="1:13" s="759" customFormat="1" ht="15" customHeight="1">
      <c r="A169" s="760" t="s">
        <v>71</v>
      </c>
      <c r="B169" s="1664" t="s">
        <v>65</v>
      </c>
      <c r="C169" s="1664"/>
      <c r="D169" s="1664"/>
      <c r="E169" s="1664"/>
      <c r="F169" s="1664"/>
      <c r="G169" s="767">
        <v>467</v>
      </c>
      <c r="H169" s="757" t="s">
        <v>96</v>
      </c>
      <c r="I169" s="860">
        <f>Plan1!I160*92%</f>
        <v>3.5420000000000003</v>
      </c>
      <c r="J169" s="747">
        <f>ROUND(G169*I169,2)</f>
        <v>1654.11</v>
      </c>
      <c r="K169" s="763" t="s">
        <v>543</v>
      </c>
      <c r="L169" s="791">
        <f>J169</f>
        <v>1654.11</v>
      </c>
      <c r="M169" s="865"/>
    </row>
    <row r="170" spans="1:13" s="765" customFormat="1" ht="15" customHeight="1">
      <c r="A170" s="760" t="s">
        <v>72</v>
      </c>
      <c r="B170" s="1664" t="s">
        <v>66</v>
      </c>
      <c r="C170" s="1664"/>
      <c r="D170" s="1664"/>
      <c r="E170" s="1664"/>
      <c r="F170" s="1664"/>
      <c r="G170" s="767">
        <v>467</v>
      </c>
      <c r="H170" s="757" t="s">
        <v>96</v>
      </c>
      <c r="I170" s="860">
        <f>Plan1!I161*92%</f>
        <v>10.4604</v>
      </c>
      <c r="J170" s="747">
        <f t="shared" ref="J170:J171" si="5">ROUND(G170*I170,2)</f>
        <v>4885.01</v>
      </c>
      <c r="K170" s="763" t="s">
        <v>543</v>
      </c>
      <c r="L170" s="791">
        <f t="shared" ref="L170:L172" si="6">J170</f>
        <v>4885.01</v>
      </c>
      <c r="M170" s="867"/>
    </row>
    <row r="171" spans="1:13" s="765" customFormat="1" ht="30" customHeight="1">
      <c r="A171" s="760" t="s">
        <v>73</v>
      </c>
      <c r="B171" s="1674" t="s">
        <v>320</v>
      </c>
      <c r="C171" s="1675"/>
      <c r="D171" s="1675"/>
      <c r="E171" s="1675"/>
      <c r="F171" s="1676"/>
      <c r="G171" s="767">
        <v>467</v>
      </c>
      <c r="H171" s="768" t="s">
        <v>96</v>
      </c>
      <c r="I171" s="860">
        <f>Plan1!I162*92%</f>
        <v>20.9024</v>
      </c>
      <c r="J171" s="748">
        <f t="shared" si="5"/>
        <v>9761.42</v>
      </c>
      <c r="K171" s="763" t="s">
        <v>543</v>
      </c>
      <c r="L171" s="791">
        <f t="shared" si="6"/>
        <v>9761.42</v>
      </c>
      <c r="M171" s="867"/>
    </row>
    <row r="172" spans="1:13" s="765" customFormat="1" ht="30" customHeight="1">
      <c r="A172" s="982" t="s">
        <v>74</v>
      </c>
      <c r="B172" s="1666" t="s">
        <v>516</v>
      </c>
      <c r="C172" s="1666"/>
      <c r="D172" s="1666"/>
      <c r="E172" s="1666"/>
      <c r="F172" s="1666"/>
      <c r="G172" s="767">
        <v>250</v>
      </c>
      <c r="H172" s="768" t="s">
        <v>96</v>
      </c>
      <c r="I172" s="860">
        <v>33.229999999999997</v>
      </c>
      <c r="J172" s="748">
        <f>I172*G172</f>
        <v>8307.5</v>
      </c>
      <c r="K172" s="763" t="s">
        <v>543</v>
      </c>
      <c r="L172" s="791">
        <f t="shared" si="6"/>
        <v>8307.5</v>
      </c>
      <c r="M172" s="867"/>
    </row>
    <row r="173" spans="1:13" s="17" customFormat="1" ht="27.6" customHeight="1">
      <c r="A173" s="983" t="s">
        <v>598</v>
      </c>
      <c r="B173" s="1717" t="s">
        <v>516</v>
      </c>
      <c r="C173" s="1717"/>
      <c r="D173" s="1717"/>
      <c r="E173" s="1717"/>
      <c r="F173" s="1717"/>
      <c r="G173" s="979">
        <v>217.12515946137495</v>
      </c>
      <c r="H173" s="980" t="s">
        <v>96</v>
      </c>
      <c r="I173" s="972">
        <v>92.03</v>
      </c>
      <c r="J173" s="981">
        <f>I173*G173</f>
        <v>19982.028425230335</v>
      </c>
      <c r="K173" s="974" t="s">
        <v>608</v>
      </c>
      <c r="L173" s="789"/>
      <c r="M173" s="801"/>
    </row>
    <row r="174" spans="1:13" s="765" customFormat="1" ht="15" customHeight="1">
      <c r="A174" s="760" t="s">
        <v>75</v>
      </c>
      <c r="B174" s="1663" t="s">
        <v>68</v>
      </c>
      <c r="C174" s="1663"/>
      <c r="D174" s="1663"/>
      <c r="E174" s="1663"/>
      <c r="F174" s="1663"/>
      <c r="G174" s="761">
        <v>23.38</v>
      </c>
      <c r="H174" s="757" t="s">
        <v>92</v>
      </c>
      <c r="I174" s="860">
        <f>Plan1!I164*92%</f>
        <v>468.04080000000005</v>
      </c>
      <c r="J174" s="747">
        <f>ROUND(G174*I174,2)</f>
        <v>10942.79</v>
      </c>
      <c r="K174" s="763" t="s">
        <v>543</v>
      </c>
      <c r="L174" s="791">
        <f>J174</f>
        <v>10942.79</v>
      </c>
      <c r="M174" s="867"/>
    </row>
    <row r="175" spans="1:13" s="765" customFormat="1" ht="15" customHeight="1">
      <c r="A175" s="760" t="s">
        <v>76</v>
      </c>
      <c r="B175" s="1663" t="s">
        <v>69</v>
      </c>
      <c r="C175" s="1663"/>
      <c r="D175" s="1663"/>
      <c r="E175" s="1663"/>
      <c r="F175" s="1663"/>
      <c r="G175" s="761">
        <v>250</v>
      </c>
      <c r="H175" s="757" t="s">
        <v>96</v>
      </c>
      <c r="I175" s="860">
        <v>39.159999999999997</v>
      </c>
      <c r="J175" s="747">
        <f>ROUND(G175*I175,2)</f>
        <v>9790</v>
      </c>
      <c r="K175" s="763" t="s">
        <v>543</v>
      </c>
      <c r="L175" s="791">
        <f>J175</f>
        <v>9790</v>
      </c>
      <c r="M175" s="867"/>
    </row>
    <row r="176" spans="1:13" s="17" customFormat="1" ht="43.9" customHeight="1">
      <c r="A176" s="723" t="s">
        <v>599</v>
      </c>
      <c r="B176" s="1523" t="s">
        <v>69</v>
      </c>
      <c r="C176" s="1524"/>
      <c r="D176" s="1524"/>
      <c r="E176" s="1524"/>
      <c r="F176" s="1525"/>
      <c r="G176" s="236">
        <v>217.47</v>
      </c>
      <c r="H176" s="237" t="s">
        <v>96</v>
      </c>
      <c r="I176" s="861">
        <f>Plan1!I165*92%</f>
        <v>39.155200000000001</v>
      </c>
      <c r="J176" s="669">
        <f>ROUND(G176*I176,2)</f>
        <v>8515.08</v>
      </c>
      <c r="K176" s="721" t="s">
        <v>551</v>
      </c>
      <c r="L176" s="789"/>
      <c r="M176" s="801"/>
    </row>
    <row r="177" spans="1:13" s="765" customFormat="1" ht="39.6" customHeight="1">
      <c r="A177" s="760" t="s">
        <v>77</v>
      </c>
      <c r="B177" s="1663" t="s">
        <v>533</v>
      </c>
      <c r="C177" s="1663"/>
      <c r="D177" s="1663"/>
      <c r="E177" s="1663"/>
      <c r="F177" s="1663"/>
      <c r="G177" s="761">
        <v>250</v>
      </c>
      <c r="H177" s="757" t="s">
        <v>96</v>
      </c>
      <c r="I177" s="860">
        <v>5.76</v>
      </c>
      <c r="J177" s="747">
        <f>ROUND(G177*I177,2)</f>
        <v>1440</v>
      </c>
      <c r="K177" s="763" t="s">
        <v>543</v>
      </c>
      <c r="L177" s="791">
        <f>J177</f>
        <v>1440</v>
      </c>
      <c r="M177" s="867"/>
    </row>
    <row r="178" spans="1:13" s="17" customFormat="1" ht="39.6" customHeight="1">
      <c r="A178" s="984" t="s">
        <v>600</v>
      </c>
      <c r="B178" s="1718" t="s">
        <v>533</v>
      </c>
      <c r="C178" s="1718"/>
      <c r="D178" s="1718"/>
      <c r="E178" s="1718"/>
      <c r="F178" s="1718"/>
      <c r="G178" s="1015">
        <v>217</v>
      </c>
      <c r="H178" s="1013" t="s">
        <v>96</v>
      </c>
      <c r="I178" s="1009">
        <v>0</v>
      </c>
      <c r="J178" s="1014">
        <f>ROUND(G178*I178,2)</f>
        <v>0</v>
      </c>
      <c r="K178" s="1011" t="s">
        <v>532</v>
      </c>
      <c r="L178" s="789"/>
      <c r="M178" s="801"/>
    </row>
    <row r="179" spans="1:13" s="17" customFormat="1" ht="29.45" customHeight="1">
      <c r="A179" s="985" t="s">
        <v>337</v>
      </c>
      <c r="B179" s="1706" t="s">
        <v>334</v>
      </c>
      <c r="C179" s="1712"/>
      <c r="D179" s="1712"/>
      <c r="E179" s="1712"/>
      <c r="F179" s="1713"/>
      <c r="G179" s="986">
        <v>15.63</v>
      </c>
      <c r="H179" s="987" t="s">
        <v>92</v>
      </c>
      <c r="I179" s="972">
        <v>635.79999999999995</v>
      </c>
      <c r="J179" s="988">
        <f>SUM(G179*I179)</f>
        <v>9937.5540000000001</v>
      </c>
      <c r="K179" s="974" t="s">
        <v>609</v>
      </c>
      <c r="L179" s="789"/>
      <c r="M179" s="801"/>
    </row>
    <row r="180" spans="1:13" s="17" customFormat="1" ht="10.9" customHeight="1">
      <c r="A180" s="551"/>
      <c r="B180" s="915"/>
      <c r="C180" s="916"/>
      <c r="D180" s="916"/>
      <c r="E180" s="916"/>
      <c r="F180" s="917"/>
      <c r="G180" s="201"/>
      <c r="H180" s="583"/>
      <c r="I180" s="641"/>
      <c r="J180" s="674"/>
      <c r="K180" s="686"/>
      <c r="L180" s="789"/>
      <c r="M180" s="801"/>
    </row>
    <row r="181" spans="1:13" s="17" customFormat="1" ht="15" customHeight="1">
      <c r="A181" s="408">
        <v>6</v>
      </c>
      <c r="B181" s="1301" t="s">
        <v>82</v>
      </c>
      <c r="C181" s="1302"/>
      <c r="D181" s="1302"/>
      <c r="E181" s="1302"/>
      <c r="F181" s="1303"/>
      <c r="G181" s="372"/>
      <c r="H181" s="222"/>
      <c r="I181" s="637"/>
      <c r="J181" s="667">
        <f>SUM(J182)</f>
        <v>9200</v>
      </c>
      <c r="K181" s="532"/>
      <c r="L181" s="789"/>
      <c r="M181" s="801"/>
    </row>
    <row r="182" spans="1:13" s="17" customFormat="1" ht="42" customHeight="1">
      <c r="A182" s="984" t="s">
        <v>81</v>
      </c>
      <c r="B182" s="1714" t="s">
        <v>79</v>
      </c>
      <c r="C182" s="1715"/>
      <c r="D182" s="1715"/>
      <c r="E182" s="1715"/>
      <c r="F182" s="1716"/>
      <c r="G182" s="1012">
        <v>1</v>
      </c>
      <c r="H182" s="1013" t="s">
        <v>80</v>
      </c>
      <c r="I182" s="1009">
        <f>Plan1!I168*92%</f>
        <v>9200</v>
      </c>
      <c r="J182" s="1014">
        <f>I182</f>
        <v>9200</v>
      </c>
      <c r="K182" s="1011" t="s">
        <v>551</v>
      </c>
      <c r="L182" s="789"/>
      <c r="M182" s="789">
        <f>SUM(L145:L179)</f>
        <v>151767.82999999999</v>
      </c>
    </row>
    <row r="183" spans="1:13" s="17" customFormat="1" ht="12" customHeight="1">
      <c r="A183" s="385"/>
      <c r="B183" s="899"/>
      <c r="C183" s="900"/>
      <c r="D183" s="900"/>
      <c r="E183" s="900"/>
      <c r="F183" s="901"/>
      <c r="G183" s="213"/>
      <c r="H183" s="894"/>
      <c r="I183" s="190"/>
      <c r="J183" s="672"/>
      <c r="K183" s="690"/>
      <c r="L183" s="789"/>
      <c r="M183" s="801"/>
    </row>
    <row r="184" spans="1:13" s="17" customFormat="1" ht="15" customHeight="1">
      <c r="A184" s="565"/>
      <c r="B184" s="566"/>
      <c r="C184" s="566"/>
      <c r="D184" s="566"/>
      <c r="E184" s="566"/>
      <c r="F184" s="566"/>
      <c r="G184" s="567"/>
      <c r="H184" s="568" t="s">
        <v>286</v>
      </c>
      <c r="I184" s="642"/>
      <c r="J184" s="675">
        <f>(J144+J151+J157+J160+J168+J181)-M182</f>
        <v>77725.432425230363</v>
      </c>
      <c r="K184" s="725"/>
      <c r="L184" s="789"/>
      <c r="M184" s="801"/>
    </row>
    <row r="185" spans="1:13" s="16" customFormat="1" ht="11.45" customHeight="1">
      <c r="A185" s="912"/>
      <c r="B185" s="891"/>
      <c r="C185" s="891"/>
      <c r="D185" s="891"/>
      <c r="E185" s="891"/>
      <c r="F185" s="891"/>
      <c r="G185" s="892"/>
      <c r="H185" s="896"/>
      <c r="I185" s="529"/>
      <c r="J185" s="676"/>
      <c r="K185" s="691"/>
      <c r="L185" s="793"/>
      <c r="M185" s="800"/>
    </row>
    <row r="186" spans="1:13" s="16" customFormat="1" ht="15" customHeight="1">
      <c r="A186" s="417"/>
      <c r="B186" s="1316" t="s">
        <v>311</v>
      </c>
      <c r="C186" s="1317"/>
      <c r="D186" s="1317"/>
      <c r="E186" s="1317"/>
      <c r="F186" s="1318"/>
      <c r="G186" s="182"/>
      <c r="H186" s="524"/>
      <c r="I186" s="637"/>
      <c r="J186" s="677"/>
      <c r="K186" s="726"/>
      <c r="L186" s="793"/>
      <c r="M186" s="800"/>
    </row>
    <row r="187" spans="1:13" s="16" customFormat="1" ht="15" customHeight="1">
      <c r="A187" s="380">
        <v>1</v>
      </c>
      <c r="B187" s="1301" t="s">
        <v>36</v>
      </c>
      <c r="C187" s="1302"/>
      <c r="D187" s="1302"/>
      <c r="E187" s="1302"/>
      <c r="F187" s="1303"/>
      <c r="G187" s="182"/>
      <c r="H187" s="524"/>
      <c r="I187" s="637"/>
      <c r="J187" s="678">
        <f>J188</f>
        <v>186.32</v>
      </c>
      <c r="K187" s="533"/>
      <c r="L187" s="789"/>
      <c r="M187" s="800"/>
    </row>
    <row r="188" spans="1:13" s="759" customFormat="1" ht="15" customHeight="1">
      <c r="A188" s="760" t="s">
        <v>37</v>
      </c>
      <c r="B188" s="1648" t="s">
        <v>83</v>
      </c>
      <c r="C188" s="1649"/>
      <c r="D188" s="1649"/>
      <c r="E188" s="1649"/>
      <c r="F188" s="1650"/>
      <c r="G188" s="762">
        <v>28.89</v>
      </c>
      <c r="H188" s="770" t="s">
        <v>38</v>
      </c>
      <c r="I188" s="860">
        <f>Plan1!I190*92%</f>
        <v>6.4492000000000003</v>
      </c>
      <c r="J188" s="749">
        <f>ROUND(G188*I188,2)</f>
        <v>186.32</v>
      </c>
      <c r="K188" s="763" t="s">
        <v>543</v>
      </c>
      <c r="L188" s="791">
        <f>J188</f>
        <v>186.32</v>
      </c>
      <c r="M188" s="865"/>
    </row>
    <row r="189" spans="1:13" s="16" customFormat="1" ht="10.9" customHeight="1">
      <c r="A189" s="382"/>
      <c r="B189" s="884"/>
      <c r="C189" s="885"/>
      <c r="D189" s="885"/>
      <c r="E189" s="885"/>
      <c r="F189" s="886"/>
      <c r="G189" s="217"/>
      <c r="H189" s="525"/>
      <c r="I189" s="190"/>
      <c r="J189" s="679"/>
      <c r="K189" s="690"/>
      <c r="L189" s="789"/>
      <c r="M189" s="800"/>
    </row>
    <row r="190" spans="1:13" s="16" customFormat="1" ht="15" customHeight="1">
      <c r="A190" s="380">
        <v>2</v>
      </c>
      <c r="B190" s="1301" t="s">
        <v>91</v>
      </c>
      <c r="C190" s="1302"/>
      <c r="D190" s="1302"/>
      <c r="E190" s="1302"/>
      <c r="F190" s="1303"/>
      <c r="G190" s="221"/>
      <c r="H190" s="526"/>
      <c r="I190" s="638"/>
      <c r="J190" s="678">
        <f>SUM(J191:J196)</f>
        <v>2360.84</v>
      </c>
      <c r="K190" s="533"/>
      <c r="L190" s="789"/>
      <c r="M190" s="800"/>
    </row>
    <row r="191" spans="1:13" s="759" customFormat="1" ht="15" customHeight="1">
      <c r="A191" s="760" t="s">
        <v>84</v>
      </c>
      <c r="B191" s="1654" t="s">
        <v>85</v>
      </c>
      <c r="C191" s="1655"/>
      <c r="D191" s="1655"/>
      <c r="E191" s="1655"/>
      <c r="F191" s="1656"/>
      <c r="G191" s="767">
        <v>2.08</v>
      </c>
      <c r="H191" s="770" t="s">
        <v>51</v>
      </c>
      <c r="I191" s="860">
        <f>Plan1!I193*92%</f>
        <v>28.566000000000003</v>
      </c>
      <c r="J191" s="750">
        <f>ROUND(G191*I191,2)</f>
        <v>59.42</v>
      </c>
      <c r="K191" s="1651" t="s">
        <v>543</v>
      </c>
      <c r="L191" s="791">
        <f>J191</f>
        <v>59.42</v>
      </c>
      <c r="M191" s="865"/>
    </row>
    <row r="192" spans="1:13" s="759" customFormat="1" ht="15" customHeight="1">
      <c r="A192" s="760" t="s">
        <v>43</v>
      </c>
      <c r="B192" s="1668" t="s">
        <v>49</v>
      </c>
      <c r="C192" s="1669"/>
      <c r="D192" s="1669"/>
      <c r="E192" s="1669"/>
      <c r="F192" s="1670"/>
      <c r="G192" s="771">
        <v>27</v>
      </c>
      <c r="H192" s="770" t="s">
        <v>52</v>
      </c>
      <c r="I192" s="860">
        <f>Plan1!I194*92%</f>
        <v>33.129199999999997</v>
      </c>
      <c r="J192" s="750">
        <f t="shared" ref="J192:J196" si="7">ROUND(G192*I192,2)</f>
        <v>894.49</v>
      </c>
      <c r="K192" s="1652"/>
      <c r="L192" s="791">
        <f t="shared" ref="L192:L196" si="8">J192</f>
        <v>894.49</v>
      </c>
      <c r="M192" s="865"/>
    </row>
    <row r="193" spans="1:13" s="759" customFormat="1" ht="15" customHeight="1">
      <c r="A193" s="760" t="s">
        <v>240</v>
      </c>
      <c r="B193" s="920" t="s">
        <v>86</v>
      </c>
      <c r="C193" s="772"/>
      <c r="D193" s="772"/>
      <c r="E193" s="772"/>
      <c r="F193" s="773"/>
      <c r="G193" s="767">
        <v>0.16</v>
      </c>
      <c r="H193" s="770" t="s">
        <v>92</v>
      </c>
      <c r="I193" s="860">
        <f>Plan1!I195*92%</f>
        <v>88.384399999999999</v>
      </c>
      <c r="J193" s="750">
        <f t="shared" si="7"/>
        <v>14.14</v>
      </c>
      <c r="K193" s="1652"/>
      <c r="L193" s="791">
        <f t="shared" si="8"/>
        <v>14.14</v>
      </c>
      <c r="M193" s="865"/>
    </row>
    <row r="194" spans="1:13" s="759" customFormat="1" ht="15" customHeight="1">
      <c r="A194" s="760" t="s">
        <v>45</v>
      </c>
      <c r="B194" s="921" t="s">
        <v>87</v>
      </c>
      <c r="C194" s="772"/>
      <c r="D194" s="772"/>
      <c r="E194" s="772"/>
      <c r="F194" s="773"/>
      <c r="G194" s="767">
        <v>172.8</v>
      </c>
      <c r="H194" s="774" t="s">
        <v>50</v>
      </c>
      <c r="I194" s="860">
        <f>Plan1!I196*92%</f>
        <v>4.6092000000000004</v>
      </c>
      <c r="J194" s="750">
        <f t="shared" si="7"/>
        <v>796.47</v>
      </c>
      <c r="K194" s="1652"/>
      <c r="L194" s="791">
        <f t="shared" si="8"/>
        <v>796.47</v>
      </c>
      <c r="M194" s="865"/>
    </row>
    <row r="195" spans="1:13" s="759" customFormat="1" ht="15" customHeight="1">
      <c r="A195" s="760" t="s">
        <v>47</v>
      </c>
      <c r="B195" s="921" t="s">
        <v>89</v>
      </c>
      <c r="C195" s="772"/>
      <c r="D195" s="772"/>
      <c r="E195" s="772"/>
      <c r="F195" s="773"/>
      <c r="G195" s="767">
        <v>1.92</v>
      </c>
      <c r="H195" s="774" t="s">
        <v>51</v>
      </c>
      <c r="I195" s="860">
        <f>Plan1!I197*92%</f>
        <v>230.39560000000003</v>
      </c>
      <c r="J195" s="750">
        <f t="shared" si="7"/>
        <v>442.36</v>
      </c>
      <c r="K195" s="1652"/>
      <c r="L195" s="791">
        <f t="shared" si="8"/>
        <v>442.36</v>
      </c>
      <c r="M195" s="865"/>
    </row>
    <row r="196" spans="1:13" s="759" customFormat="1" ht="15" customHeight="1" thickBot="1">
      <c r="A196" s="760" t="s">
        <v>48</v>
      </c>
      <c r="B196" s="920" t="s">
        <v>90</v>
      </c>
      <c r="C196" s="772"/>
      <c r="D196" s="772"/>
      <c r="E196" s="772"/>
      <c r="F196" s="773"/>
      <c r="G196" s="767">
        <v>1.92</v>
      </c>
      <c r="H196" s="770" t="s">
        <v>51</v>
      </c>
      <c r="I196" s="860">
        <f>Plan1!I198*92%</f>
        <v>80.187200000000004</v>
      </c>
      <c r="J196" s="750">
        <f t="shared" si="7"/>
        <v>153.96</v>
      </c>
      <c r="K196" s="1653"/>
      <c r="L196" s="791">
        <f t="shared" si="8"/>
        <v>153.96</v>
      </c>
      <c r="M196" s="865"/>
    </row>
    <row r="197" spans="1:13" s="16" customFormat="1" ht="9" customHeight="1" thickTop="1">
      <c r="A197" s="509"/>
      <c r="B197" s="509"/>
      <c r="C197" s="509"/>
      <c r="D197" s="509"/>
      <c r="E197" s="509"/>
      <c r="F197" s="509"/>
      <c r="G197" s="490"/>
      <c r="H197" s="347"/>
      <c r="I197" s="497"/>
      <c r="J197" s="346"/>
      <c r="K197" s="605"/>
      <c r="L197" s="789"/>
      <c r="M197" s="800"/>
    </row>
    <row r="198" spans="1:13" s="16" customFormat="1" ht="9" customHeight="1" thickBot="1">
      <c r="A198" s="367"/>
      <c r="B198" s="367"/>
      <c r="C198" s="367"/>
      <c r="D198" s="367"/>
      <c r="E198" s="367"/>
      <c r="F198" s="367"/>
      <c r="G198" s="398"/>
      <c r="H198" s="399"/>
      <c r="I198" s="432"/>
      <c r="J198" s="401"/>
      <c r="K198" s="605"/>
      <c r="L198" s="789"/>
      <c r="M198" s="800"/>
    </row>
    <row r="199" spans="1:13" s="16" customFormat="1" ht="15" customHeight="1" thickTop="1">
      <c r="A199" s="439">
        <v>3</v>
      </c>
      <c r="B199" s="1301" t="s">
        <v>315</v>
      </c>
      <c r="C199" s="1302"/>
      <c r="D199" s="1302"/>
      <c r="E199" s="1302"/>
      <c r="F199" s="1303"/>
      <c r="G199" s="372"/>
      <c r="H199" s="526"/>
      <c r="I199" s="640"/>
      <c r="J199" s="693">
        <f>SUM(J200:J204)</f>
        <v>7643.01</v>
      </c>
      <c r="K199" s="532"/>
      <c r="L199" s="789"/>
      <c r="M199" s="800"/>
    </row>
    <row r="200" spans="1:13" s="759" customFormat="1" ht="28.9" customHeight="1">
      <c r="A200" s="760" t="s">
        <v>54</v>
      </c>
      <c r="B200" s="1663" t="s">
        <v>93</v>
      </c>
      <c r="C200" s="1663"/>
      <c r="D200" s="1663"/>
      <c r="E200" s="1663"/>
      <c r="F200" s="1663"/>
      <c r="G200" s="767">
        <v>48.65</v>
      </c>
      <c r="H200" s="774" t="s">
        <v>96</v>
      </c>
      <c r="I200" s="860">
        <v>1.49</v>
      </c>
      <c r="J200" s="751">
        <f>ROUND(G200*I200,2)</f>
        <v>72.489999999999995</v>
      </c>
      <c r="K200" s="763" t="s">
        <v>543</v>
      </c>
      <c r="L200" s="791">
        <f>J200</f>
        <v>72.489999999999995</v>
      </c>
      <c r="M200" s="865"/>
    </row>
    <row r="201" spans="1:13" s="154" customFormat="1" ht="28.9" customHeight="1">
      <c r="A201" s="985" t="s">
        <v>601</v>
      </c>
      <c r="B201" s="1709" t="s">
        <v>93</v>
      </c>
      <c r="C201" s="1709"/>
      <c r="D201" s="1709"/>
      <c r="E201" s="1709"/>
      <c r="F201" s="1709"/>
      <c r="G201" s="986">
        <v>106.24</v>
      </c>
      <c r="H201" s="971" t="s">
        <v>96</v>
      </c>
      <c r="I201" s="972">
        <v>3.2</v>
      </c>
      <c r="J201" s="989">
        <f>ROUND(G201*I201,2)</f>
        <v>339.97</v>
      </c>
      <c r="K201" s="974" t="s">
        <v>604</v>
      </c>
      <c r="L201" s="792"/>
      <c r="M201" s="868"/>
    </row>
    <row r="202" spans="1:13" s="759" customFormat="1" ht="28.9" customHeight="1">
      <c r="A202" s="760" t="s">
        <v>95</v>
      </c>
      <c r="B202" s="1663" t="s">
        <v>94</v>
      </c>
      <c r="C202" s="1663"/>
      <c r="D202" s="1663"/>
      <c r="E202" s="1663"/>
      <c r="F202" s="1663"/>
      <c r="G202" s="767">
        <v>2.4500000000000002</v>
      </c>
      <c r="H202" s="774" t="s">
        <v>92</v>
      </c>
      <c r="I202" s="860">
        <v>201.99</v>
      </c>
      <c r="J202" s="751">
        <f>ROUND(G202*I202,2)</f>
        <v>494.88</v>
      </c>
      <c r="K202" s="763" t="s">
        <v>543</v>
      </c>
      <c r="L202" s="791">
        <f>J202</f>
        <v>494.88</v>
      </c>
      <c r="M202" s="865"/>
    </row>
    <row r="203" spans="1:13" s="154" customFormat="1" ht="28.9" customHeight="1">
      <c r="A203" s="985" t="s">
        <v>602</v>
      </c>
      <c r="B203" s="1709" t="s">
        <v>94</v>
      </c>
      <c r="C203" s="1709"/>
      <c r="D203" s="1709"/>
      <c r="E203" s="1709"/>
      <c r="F203" s="1709"/>
      <c r="G203" s="986">
        <v>6.38</v>
      </c>
      <c r="H203" s="971" t="s">
        <v>92</v>
      </c>
      <c r="I203" s="972">
        <v>685.45</v>
      </c>
      <c r="J203" s="989">
        <f>ROUND(G203*I203,2)</f>
        <v>4373.17</v>
      </c>
      <c r="K203" s="974" t="s">
        <v>610</v>
      </c>
      <c r="L203" s="792"/>
      <c r="M203" s="868"/>
    </row>
    <row r="204" spans="1:13" s="154" customFormat="1" ht="28.9" customHeight="1">
      <c r="A204" s="985" t="s">
        <v>97</v>
      </c>
      <c r="B204" s="1709" t="s">
        <v>542</v>
      </c>
      <c r="C204" s="1709"/>
      <c r="D204" s="1709"/>
      <c r="E204" s="1709"/>
      <c r="F204" s="1709"/>
      <c r="G204" s="986">
        <v>126</v>
      </c>
      <c r="H204" s="971" t="s">
        <v>96</v>
      </c>
      <c r="I204" s="972">
        <v>18.75</v>
      </c>
      <c r="J204" s="989">
        <f>SUM(G204*I204)</f>
        <v>2362.5</v>
      </c>
      <c r="K204" s="974" t="s">
        <v>611</v>
      </c>
      <c r="L204" s="792"/>
      <c r="M204" s="868"/>
    </row>
    <row r="205" spans="1:13" s="16" customFormat="1" ht="13.9" customHeight="1">
      <c r="A205" s="423"/>
      <c r="B205" s="907"/>
      <c r="C205" s="908"/>
      <c r="D205" s="908"/>
      <c r="E205" s="908"/>
      <c r="F205" s="909"/>
      <c r="G205" s="205"/>
      <c r="H205" s="525"/>
      <c r="I205" s="641"/>
      <c r="J205" s="695"/>
      <c r="K205" s="690"/>
      <c r="L205" s="789"/>
      <c r="M205" s="800"/>
    </row>
    <row r="206" spans="1:13" s="16" customFormat="1" ht="13.15" customHeight="1">
      <c r="A206" s="439">
        <v>4</v>
      </c>
      <c r="B206" s="1301" t="s">
        <v>98</v>
      </c>
      <c r="C206" s="1302"/>
      <c r="D206" s="1302"/>
      <c r="E206" s="1302"/>
      <c r="F206" s="1303"/>
      <c r="G206" s="372"/>
      <c r="H206" s="526"/>
      <c r="I206" s="640"/>
      <c r="J206" s="693">
        <f>SUM(J207:J209)</f>
        <v>6543.24</v>
      </c>
      <c r="K206" s="532"/>
      <c r="L206" s="789"/>
      <c r="M206" s="800"/>
    </row>
    <row r="207" spans="1:13" s="759" customFormat="1" ht="15" customHeight="1">
      <c r="A207" s="775" t="s">
        <v>58</v>
      </c>
      <c r="B207" s="1648" t="s">
        <v>313</v>
      </c>
      <c r="C207" s="1649"/>
      <c r="D207" s="1649"/>
      <c r="E207" s="1649"/>
      <c r="F207" s="1650"/>
      <c r="G207" s="767">
        <v>69</v>
      </c>
      <c r="H207" s="774" t="s">
        <v>96</v>
      </c>
      <c r="I207" s="860">
        <f>Plan1!I205*92%</f>
        <v>46.368000000000002</v>
      </c>
      <c r="J207" s="751">
        <f>ROUND(G207*I207,2)</f>
        <v>3199.39</v>
      </c>
      <c r="K207" s="1651" t="s">
        <v>543</v>
      </c>
      <c r="L207" s="791">
        <f>J207</f>
        <v>3199.39</v>
      </c>
      <c r="M207" s="865"/>
    </row>
    <row r="208" spans="1:13" s="759" customFormat="1" ht="15" customHeight="1">
      <c r="A208" s="775" t="s">
        <v>59</v>
      </c>
      <c r="B208" s="1648" t="s">
        <v>99</v>
      </c>
      <c r="C208" s="1649"/>
      <c r="D208" s="1649"/>
      <c r="E208" s="1649"/>
      <c r="F208" s="1650"/>
      <c r="G208" s="767">
        <v>2.2599999999999998</v>
      </c>
      <c r="H208" s="774" t="s">
        <v>92</v>
      </c>
      <c r="I208" s="860">
        <f>Plan1!I206*92%</f>
        <v>839.84040000000005</v>
      </c>
      <c r="J208" s="751">
        <f t="shared" ref="J208:J209" si="9">ROUND(G208*I208,2)</f>
        <v>1898.04</v>
      </c>
      <c r="K208" s="1652"/>
      <c r="L208" s="791">
        <f t="shared" ref="L208:L209" si="10">J208</f>
        <v>1898.04</v>
      </c>
      <c r="M208" s="865"/>
    </row>
    <row r="209" spans="1:13" s="759" customFormat="1" ht="15" customHeight="1">
      <c r="A209" s="775" t="s">
        <v>60</v>
      </c>
      <c r="B209" s="1648" t="s">
        <v>323</v>
      </c>
      <c r="C209" s="1649"/>
      <c r="D209" s="1649"/>
      <c r="E209" s="1649"/>
      <c r="F209" s="1650"/>
      <c r="G209" s="767">
        <v>15.35</v>
      </c>
      <c r="H209" s="774" t="s">
        <v>96</v>
      </c>
      <c r="I209" s="860">
        <f>Plan1!I207*92%</f>
        <v>94.189599999999999</v>
      </c>
      <c r="J209" s="751">
        <f t="shared" si="9"/>
        <v>1445.81</v>
      </c>
      <c r="K209" s="1653"/>
      <c r="L209" s="791">
        <f t="shared" si="10"/>
        <v>1445.81</v>
      </c>
      <c r="M209" s="865"/>
    </row>
    <row r="210" spans="1:13" s="16" customFormat="1" ht="12" customHeight="1">
      <c r="A210" s="906"/>
      <c r="B210" s="873"/>
      <c r="C210" s="891"/>
      <c r="D210" s="891"/>
      <c r="E210" s="891"/>
      <c r="F210" s="874"/>
      <c r="G210" s="890"/>
      <c r="H210" s="895"/>
      <c r="I210" s="190"/>
      <c r="J210" s="289"/>
      <c r="K210" s="689"/>
      <c r="L210" s="789"/>
      <c r="M210" s="800"/>
    </row>
    <row r="211" spans="1:13" s="16" customFormat="1" ht="13.9" customHeight="1">
      <c r="A211" s="424">
        <v>5</v>
      </c>
      <c r="B211" s="1310" t="s">
        <v>100</v>
      </c>
      <c r="C211" s="1311"/>
      <c r="D211" s="1311"/>
      <c r="E211" s="1311"/>
      <c r="F211" s="1312"/>
      <c r="G211" s="182"/>
      <c r="H211" s="524"/>
      <c r="I211" s="638"/>
      <c r="J211" s="696">
        <f>J212</f>
        <v>2012.28</v>
      </c>
      <c r="K211" s="532"/>
      <c r="L211" s="789"/>
      <c r="M211" s="800"/>
    </row>
    <row r="212" spans="1:13" s="759" customFormat="1" ht="27.6" customHeight="1">
      <c r="A212" s="760" t="s">
        <v>71</v>
      </c>
      <c r="B212" s="1654" t="s">
        <v>101</v>
      </c>
      <c r="C212" s="1655"/>
      <c r="D212" s="1655"/>
      <c r="E212" s="1655"/>
      <c r="F212" s="1656"/>
      <c r="G212" s="756">
        <v>28.89</v>
      </c>
      <c r="H212" s="774" t="s">
        <v>38</v>
      </c>
      <c r="I212" s="860">
        <f>Plan1!I210*92%</f>
        <v>69.653199999999998</v>
      </c>
      <c r="J212" s="752">
        <f>ROUND(G212*I212,2)</f>
        <v>2012.28</v>
      </c>
      <c r="K212" s="763" t="s">
        <v>543</v>
      </c>
      <c r="L212" s="791">
        <f>J212</f>
        <v>2012.28</v>
      </c>
      <c r="M212" s="865"/>
    </row>
    <row r="213" spans="1:13" s="16" customFormat="1" ht="14.45" customHeight="1">
      <c r="A213" s="385"/>
      <c r="B213" s="899"/>
      <c r="C213" s="900"/>
      <c r="D213" s="900"/>
      <c r="E213" s="900"/>
      <c r="F213" s="901"/>
      <c r="G213" s="184"/>
      <c r="H213" s="895"/>
      <c r="I213" s="529"/>
      <c r="J213" s="697"/>
      <c r="K213" s="688"/>
      <c r="L213" s="789"/>
      <c r="M213" s="800"/>
    </row>
    <row r="214" spans="1:13" s="16" customFormat="1" ht="13.15" customHeight="1">
      <c r="A214" s="439">
        <v>6</v>
      </c>
      <c r="B214" s="1301" t="s">
        <v>102</v>
      </c>
      <c r="C214" s="1302"/>
      <c r="D214" s="1302"/>
      <c r="E214" s="1302"/>
      <c r="F214" s="1303"/>
      <c r="G214" s="372"/>
      <c r="H214" s="526"/>
      <c r="I214" s="640"/>
      <c r="J214" s="693">
        <f>SUM(J215:J217)</f>
        <v>4477.58</v>
      </c>
      <c r="K214" s="532"/>
      <c r="L214" s="789"/>
      <c r="M214" s="800"/>
    </row>
    <row r="215" spans="1:13" s="759" customFormat="1" ht="15" customHeight="1">
      <c r="A215" s="760" t="s">
        <v>81</v>
      </c>
      <c r="B215" s="920" t="s">
        <v>103</v>
      </c>
      <c r="C215" s="776"/>
      <c r="D215" s="776"/>
      <c r="E215" s="776"/>
      <c r="F215" s="777"/>
      <c r="G215" s="761">
        <v>43.23</v>
      </c>
      <c r="H215" s="774" t="s">
        <v>38</v>
      </c>
      <c r="I215" s="860">
        <f>Plan1!I213*92%</f>
        <v>70.720400000000012</v>
      </c>
      <c r="J215" s="751">
        <f>ROUND(G215*I215,2)</f>
        <v>3057.24</v>
      </c>
      <c r="K215" s="1651" t="s">
        <v>543</v>
      </c>
      <c r="L215" s="791">
        <f>J215</f>
        <v>3057.24</v>
      </c>
      <c r="M215" s="865"/>
    </row>
    <row r="216" spans="1:13" s="759" customFormat="1" ht="15" customHeight="1">
      <c r="A216" s="775" t="s">
        <v>104</v>
      </c>
      <c r="B216" s="921" t="s">
        <v>105</v>
      </c>
      <c r="C216" s="778"/>
      <c r="D216" s="778"/>
      <c r="E216" s="778"/>
      <c r="F216" s="779"/>
      <c r="G216" s="767">
        <v>43.23</v>
      </c>
      <c r="H216" s="770" t="s">
        <v>38</v>
      </c>
      <c r="I216" s="860">
        <f>Plan1!I214*92%</f>
        <v>30.737199999999998</v>
      </c>
      <c r="J216" s="751">
        <f>ROUND(G216*I216,2)</f>
        <v>1328.77</v>
      </c>
      <c r="K216" s="1652"/>
      <c r="L216" s="791">
        <f t="shared" ref="L216:L217" si="11">J216</f>
        <v>1328.77</v>
      </c>
      <c r="M216" s="865"/>
    </row>
    <row r="217" spans="1:13" s="759" customFormat="1" ht="27" customHeight="1">
      <c r="A217" s="760" t="s">
        <v>106</v>
      </c>
      <c r="B217" s="1654" t="s">
        <v>107</v>
      </c>
      <c r="C217" s="1655"/>
      <c r="D217" s="1655"/>
      <c r="E217" s="1655"/>
      <c r="F217" s="1656"/>
      <c r="G217" s="761">
        <v>6.6</v>
      </c>
      <c r="H217" s="774" t="s">
        <v>52</v>
      </c>
      <c r="I217" s="860">
        <f>Plan1!I215*92%</f>
        <v>13.873600000000001</v>
      </c>
      <c r="J217" s="751">
        <f>ROUND(G217*I217,2)</f>
        <v>91.57</v>
      </c>
      <c r="K217" s="1653"/>
      <c r="L217" s="791">
        <f t="shared" si="11"/>
        <v>91.57</v>
      </c>
      <c r="M217" s="865"/>
    </row>
    <row r="218" spans="1:13" s="16" customFormat="1" ht="12.6" customHeight="1">
      <c r="A218" s="906"/>
      <c r="B218" s="873"/>
      <c r="C218" s="891"/>
      <c r="D218" s="891"/>
      <c r="E218" s="891"/>
      <c r="F218" s="874"/>
      <c r="G218" s="890"/>
      <c r="H218" s="895"/>
      <c r="I218" s="190"/>
      <c r="J218" s="289"/>
      <c r="K218" s="689"/>
      <c r="L218" s="789"/>
      <c r="M218" s="800"/>
    </row>
    <row r="219" spans="1:13" s="16" customFormat="1" ht="13.15" customHeight="1">
      <c r="A219" s="380">
        <v>7</v>
      </c>
      <c r="B219" s="1322" t="s">
        <v>78</v>
      </c>
      <c r="C219" s="1322"/>
      <c r="D219" s="1322"/>
      <c r="E219" s="1322"/>
      <c r="F219" s="1322"/>
      <c r="G219" s="182"/>
      <c r="H219" s="524"/>
      <c r="I219" s="638"/>
      <c r="J219" s="696">
        <f>SUM(J220:J224)</f>
        <v>5231.8900000000003</v>
      </c>
      <c r="K219" s="532"/>
      <c r="L219" s="789"/>
      <c r="M219" s="800"/>
    </row>
    <row r="220" spans="1:13" s="759" customFormat="1" ht="15" customHeight="1">
      <c r="A220" s="760" t="s">
        <v>108</v>
      </c>
      <c r="B220" s="1664" t="s">
        <v>65</v>
      </c>
      <c r="C220" s="1664"/>
      <c r="D220" s="1664"/>
      <c r="E220" s="1664"/>
      <c r="F220" s="1664"/>
      <c r="G220" s="761">
        <f>G207*2</f>
        <v>138</v>
      </c>
      <c r="H220" s="774" t="s">
        <v>38</v>
      </c>
      <c r="I220" s="860">
        <f>Plan1!I218*92%</f>
        <v>3.5420000000000003</v>
      </c>
      <c r="J220" s="751">
        <f>ROUND(G220*I220,2)</f>
        <v>488.8</v>
      </c>
      <c r="K220" s="1651" t="s">
        <v>543</v>
      </c>
      <c r="L220" s="791">
        <f>J220</f>
        <v>488.8</v>
      </c>
      <c r="M220" s="865"/>
    </row>
    <row r="221" spans="1:13" s="759" customFormat="1" ht="15" customHeight="1">
      <c r="A221" s="775" t="s">
        <v>109</v>
      </c>
      <c r="B221" s="1665" t="s">
        <v>66</v>
      </c>
      <c r="C221" s="1665"/>
      <c r="D221" s="1665"/>
      <c r="E221" s="1665"/>
      <c r="F221" s="1665"/>
      <c r="G221" s="767">
        <f>G220</f>
        <v>138</v>
      </c>
      <c r="H221" s="770" t="s">
        <v>38</v>
      </c>
      <c r="I221" s="860">
        <f>Plan1!I219*92%</f>
        <v>10.4604</v>
      </c>
      <c r="J221" s="751">
        <f>ROUND(G221*I221,2)</f>
        <v>1443.54</v>
      </c>
      <c r="K221" s="1652"/>
      <c r="L221" s="791">
        <f t="shared" ref="L221:L224" si="12">J221</f>
        <v>1443.54</v>
      </c>
      <c r="M221" s="865"/>
    </row>
    <row r="222" spans="1:13" s="759" customFormat="1" ht="28.15" customHeight="1">
      <c r="A222" s="755" t="s">
        <v>110</v>
      </c>
      <c r="B222" s="1666" t="s">
        <v>111</v>
      </c>
      <c r="C222" s="1666"/>
      <c r="D222" s="1666"/>
      <c r="E222" s="1666"/>
      <c r="F222" s="1666"/>
      <c r="G222" s="780">
        <f>G212</f>
        <v>28.89</v>
      </c>
      <c r="H222" s="781" t="s">
        <v>64</v>
      </c>
      <c r="I222" s="860">
        <f>Plan1!I220*92%</f>
        <v>80.610400000000013</v>
      </c>
      <c r="J222" s="753">
        <f>ROUND(G222*I222,2)</f>
        <v>2328.83</v>
      </c>
      <c r="K222" s="1652"/>
      <c r="L222" s="791">
        <f t="shared" si="12"/>
        <v>2328.83</v>
      </c>
      <c r="M222" s="865"/>
    </row>
    <row r="223" spans="1:13" s="759" customFormat="1" ht="27" customHeight="1">
      <c r="A223" s="760" t="s">
        <v>112</v>
      </c>
      <c r="B223" s="1663" t="s">
        <v>113</v>
      </c>
      <c r="C223" s="1663"/>
      <c r="D223" s="1663"/>
      <c r="E223" s="1663"/>
      <c r="F223" s="1663"/>
      <c r="G223" s="761">
        <v>32.1</v>
      </c>
      <c r="H223" s="757" t="s">
        <v>38</v>
      </c>
      <c r="I223" s="860">
        <f>Plan1!I221*92%</f>
        <v>25.198800000000002</v>
      </c>
      <c r="J223" s="747">
        <f>ROUND(G223*I223,2)</f>
        <v>808.88</v>
      </c>
      <c r="K223" s="1652"/>
      <c r="L223" s="791">
        <f t="shared" si="12"/>
        <v>808.88</v>
      </c>
      <c r="M223" s="865"/>
    </row>
    <row r="224" spans="1:13" s="759" customFormat="1" ht="28.9" customHeight="1">
      <c r="A224" s="775" t="s">
        <v>114</v>
      </c>
      <c r="B224" s="1667" t="s">
        <v>115</v>
      </c>
      <c r="C224" s="1667"/>
      <c r="D224" s="1667"/>
      <c r="E224" s="1667"/>
      <c r="F224" s="1667"/>
      <c r="G224" s="767">
        <v>32.1</v>
      </c>
      <c r="H224" s="782" t="s">
        <v>38</v>
      </c>
      <c r="I224" s="860">
        <f>Plan1!I224*92%</f>
        <v>5.0416000000000007</v>
      </c>
      <c r="J224" s="748">
        <f>ROUND(G224*I224,2)</f>
        <v>161.84</v>
      </c>
      <c r="K224" s="1653"/>
      <c r="L224" s="791">
        <f t="shared" si="12"/>
        <v>161.84</v>
      </c>
      <c r="M224" s="865"/>
    </row>
    <row r="225" spans="1:13" s="16" customFormat="1" ht="11.45" customHeight="1">
      <c r="A225" s="358"/>
      <c r="B225" s="253"/>
      <c r="C225" s="913"/>
      <c r="D225" s="913"/>
      <c r="E225" s="913"/>
      <c r="F225" s="299"/>
      <c r="G225" s="890"/>
      <c r="H225" s="894"/>
      <c r="I225" s="190"/>
      <c r="J225" s="699"/>
      <c r="K225" s="689"/>
      <c r="L225" s="789"/>
      <c r="M225" s="800"/>
    </row>
    <row r="226" spans="1:13" s="16" customFormat="1" ht="14.45" customHeight="1">
      <c r="A226" s="380">
        <v>8</v>
      </c>
      <c r="B226" s="1322" t="s">
        <v>116</v>
      </c>
      <c r="C226" s="1322"/>
      <c r="D226" s="1322"/>
      <c r="E226" s="1322"/>
      <c r="F226" s="1322"/>
      <c r="G226" s="182"/>
      <c r="H226" s="189"/>
      <c r="I226" s="643"/>
      <c r="J226" s="666">
        <f>SUM(J227:J241)</f>
        <v>8913.07</v>
      </c>
      <c r="K226" s="532"/>
      <c r="L226" s="789"/>
      <c r="M226" s="800"/>
    </row>
    <row r="227" spans="1:13" s="759" customFormat="1" ht="25.9" customHeight="1">
      <c r="A227" s="760" t="s">
        <v>117</v>
      </c>
      <c r="B227" s="1663" t="s">
        <v>118</v>
      </c>
      <c r="C227" s="1663"/>
      <c r="D227" s="1663"/>
      <c r="E227" s="1663"/>
      <c r="F227" s="1663"/>
      <c r="G227" s="767">
        <v>1</v>
      </c>
      <c r="H227" s="774" t="s">
        <v>80</v>
      </c>
      <c r="I227" s="860">
        <f>Plan1!I227*92%</f>
        <v>324.6404</v>
      </c>
      <c r="J227" s="751">
        <f>ROUND(G227*I227,2)</f>
        <v>324.64</v>
      </c>
      <c r="K227" s="763" t="s">
        <v>543</v>
      </c>
      <c r="L227" s="791">
        <f>J227</f>
        <v>324.64</v>
      </c>
      <c r="M227" s="865"/>
    </row>
    <row r="228" spans="1:13" s="154" customFormat="1" ht="28.15" customHeight="1">
      <c r="A228" s="985" t="s">
        <v>119</v>
      </c>
      <c r="B228" s="1710" t="s">
        <v>120</v>
      </c>
      <c r="C228" s="1710"/>
      <c r="D228" s="1710"/>
      <c r="E228" s="1710"/>
      <c r="F228" s="1710"/>
      <c r="G228" s="986">
        <v>5</v>
      </c>
      <c r="H228" s="971" t="s">
        <v>50</v>
      </c>
      <c r="I228" s="972">
        <v>112.03</v>
      </c>
      <c r="J228" s="989">
        <f t="shared" ref="J228:J240" si="13">ROUND(G228*I228,2)</f>
        <v>560.15</v>
      </c>
      <c r="K228" s="974" t="s">
        <v>612</v>
      </c>
      <c r="L228" s="792"/>
      <c r="M228" s="868"/>
    </row>
    <row r="229" spans="1:13" s="759" customFormat="1" ht="15" customHeight="1">
      <c r="A229" s="760" t="s">
        <v>121</v>
      </c>
      <c r="B229" s="1664" t="s">
        <v>122</v>
      </c>
      <c r="C229" s="1664"/>
      <c r="D229" s="1664"/>
      <c r="E229" s="1664"/>
      <c r="F229" s="1664"/>
      <c r="G229" s="767">
        <v>10</v>
      </c>
      <c r="H229" s="774" t="s">
        <v>80</v>
      </c>
      <c r="I229" s="860">
        <f>Plan1!I229*92%</f>
        <v>7.3323999999999998</v>
      </c>
      <c r="J229" s="751">
        <f t="shared" si="13"/>
        <v>73.319999999999993</v>
      </c>
      <c r="K229" s="763" t="s">
        <v>543</v>
      </c>
      <c r="L229" s="791">
        <f>J229</f>
        <v>73.319999999999993</v>
      </c>
      <c r="M229" s="865"/>
    </row>
    <row r="230" spans="1:13" s="759" customFormat="1" ht="15" customHeight="1">
      <c r="A230" s="760" t="s">
        <v>123</v>
      </c>
      <c r="B230" s="1664" t="s">
        <v>124</v>
      </c>
      <c r="C230" s="1664"/>
      <c r="D230" s="1664"/>
      <c r="E230" s="1664"/>
      <c r="F230" s="1664"/>
      <c r="G230" s="767">
        <v>2</v>
      </c>
      <c r="H230" s="774" t="s">
        <v>80</v>
      </c>
      <c r="I230" s="860">
        <f>Plan1!I230*92%</f>
        <v>8.7032000000000007</v>
      </c>
      <c r="J230" s="751">
        <f t="shared" si="13"/>
        <v>17.41</v>
      </c>
      <c r="K230" s="763" t="s">
        <v>543</v>
      </c>
      <c r="L230" s="791">
        <f t="shared" ref="L230:L231" si="14">J230</f>
        <v>17.41</v>
      </c>
      <c r="M230" s="865"/>
    </row>
    <row r="231" spans="1:13" s="759" customFormat="1" ht="15" customHeight="1">
      <c r="A231" s="760" t="s">
        <v>125</v>
      </c>
      <c r="B231" s="1664" t="s">
        <v>126</v>
      </c>
      <c r="C231" s="1664"/>
      <c r="D231" s="1664"/>
      <c r="E231" s="1664"/>
      <c r="F231" s="1664"/>
      <c r="G231" s="767">
        <v>100</v>
      </c>
      <c r="H231" s="774" t="s">
        <v>52</v>
      </c>
      <c r="I231" s="860">
        <v>8.08</v>
      </c>
      <c r="J231" s="751">
        <f>ROUND(G231*I231,2)</f>
        <v>808</v>
      </c>
      <c r="K231" s="763" t="s">
        <v>543</v>
      </c>
      <c r="L231" s="791">
        <f t="shared" si="14"/>
        <v>808</v>
      </c>
      <c r="M231" s="865"/>
    </row>
    <row r="232" spans="1:13" s="16" customFormat="1" ht="31.9" customHeight="1">
      <c r="A232" s="985" t="s">
        <v>603</v>
      </c>
      <c r="B232" s="1710" t="s">
        <v>126</v>
      </c>
      <c r="C232" s="1710"/>
      <c r="D232" s="1710"/>
      <c r="E232" s="1710"/>
      <c r="F232" s="1710"/>
      <c r="G232" s="986">
        <v>100</v>
      </c>
      <c r="H232" s="971" t="s">
        <v>52</v>
      </c>
      <c r="I232" s="972">
        <v>13.78</v>
      </c>
      <c r="J232" s="989">
        <f t="shared" si="13"/>
        <v>1378</v>
      </c>
      <c r="K232" s="990" t="s">
        <v>613</v>
      </c>
      <c r="L232" s="789"/>
      <c r="M232" s="800"/>
    </row>
    <row r="233" spans="1:13" s="743" customFormat="1" ht="31.9" customHeight="1">
      <c r="A233" s="985" t="s">
        <v>399</v>
      </c>
      <c r="B233" s="1710" t="s">
        <v>128</v>
      </c>
      <c r="C233" s="1710"/>
      <c r="D233" s="1710"/>
      <c r="E233" s="1710"/>
      <c r="F233" s="1710"/>
      <c r="G233" s="986">
        <v>50</v>
      </c>
      <c r="H233" s="971" t="s">
        <v>52</v>
      </c>
      <c r="I233" s="972">
        <v>16.53</v>
      </c>
      <c r="J233" s="989">
        <f t="shared" si="13"/>
        <v>826.5</v>
      </c>
      <c r="K233" s="990" t="s">
        <v>614</v>
      </c>
      <c r="L233" s="794"/>
      <c r="M233" s="869"/>
    </row>
    <row r="234" spans="1:13" s="16" customFormat="1" ht="31.9" customHeight="1">
      <c r="A234" s="985" t="s">
        <v>127</v>
      </c>
      <c r="B234" s="1710" t="s">
        <v>130</v>
      </c>
      <c r="C234" s="1710"/>
      <c r="D234" s="1710"/>
      <c r="E234" s="1710"/>
      <c r="F234" s="1710"/>
      <c r="G234" s="986">
        <v>100</v>
      </c>
      <c r="H234" s="971" t="s">
        <v>52</v>
      </c>
      <c r="I234" s="972">
        <v>3.02</v>
      </c>
      <c r="J234" s="989">
        <f t="shared" si="13"/>
        <v>302</v>
      </c>
      <c r="K234" s="990" t="s">
        <v>615</v>
      </c>
      <c r="L234" s="789"/>
      <c r="M234" s="800"/>
    </row>
    <row r="235" spans="1:13" s="16" customFormat="1" ht="31.9" customHeight="1">
      <c r="A235" s="985" t="s">
        <v>129</v>
      </c>
      <c r="B235" s="1710" t="s">
        <v>132</v>
      </c>
      <c r="C235" s="1710"/>
      <c r="D235" s="1710"/>
      <c r="E235" s="1710"/>
      <c r="F235" s="1710"/>
      <c r="G235" s="986">
        <v>150</v>
      </c>
      <c r="H235" s="971" t="s">
        <v>52</v>
      </c>
      <c r="I235" s="972">
        <v>3.93</v>
      </c>
      <c r="J235" s="989">
        <f t="shared" si="13"/>
        <v>589.5</v>
      </c>
      <c r="K235" s="990" t="s">
        <v>616</v>
      </c>
      <c r="L235" s="789"/>
      <c r="M235" s="800"/>
    </row>
    <row r="236" spans="1:13" s="16" customFormat="1" ht="31.9" customHeight="1">
      <c r="A236" s="985" t="s">
        <v>131</v>
      </c>
      <c r="B236" s="1710" t="s">
        <v>134</v>
      </c>
      <c r="C236" s="1710"/>
      <c r="D236" s="1710"/>
      <c r="E236" s="1710"/>
      <c r="F236" s="1710"/>
      <c r="G236" s="986">
        <v>100</v>
      </c>
      <c r="H236" s="971" t="s">
        <v>52</v>
      </c>
      <c r="I236" s="972">
        <v>6.6</v>
      </c>
      <c r="J236" s="989">
        <f t="shared" si="13"/>
        <v>660</v>
      </c>
      <c r="K236" s="990" t="s">
        <v>617</v>
      </c>
      <c r="L236" s="789"/>
      <c r="M236" s="800"/>
    </row>
    <row r="237" spans="1:13" s="154" customFormat="1" ht="45" customHeight="1">
      <c r="A237" s="984" t="s">
        <v>133</v>
      </c>
      <c r="B237" s="1711" t="s">
        <v>136</v>
      </c>
      <c r="C237" s="1711"/>
      <c r="D237" s="1711"/>
      <c r="E237" s="1711"/>
      <c r="F237" s="1711"/>
      <c r="G237" s="1007">
        <v>100</v>
      </c>
      <c r="H237" s="1008" t="s">
        <v>52</v>
      </c>
      <c r="I237" s="1009">
        <f>Plan1!I236*92%</f>
        <v>6.8908000000000005</v>
      </c>
      <c r="J237" s="1010">
        <f t="shared" si="13"/>
        <v>689.08</v>
      </c>
      <c r="K237" s="1011" t="s">
        <v>551</v>
      </c>
      <c r="L237" s="792"/>
      <c r="M237" s="868"/>
    </row>
    <row r="238" spans="1:13" s="154" customFormat="1" ht="33.6" customHeight="1">
      <c r="A238" s="985" t="s">
        <v>400</v>
      </c>
      <c r="B238" s="1709" t="s">
        <v>138</v>
      </c>
      <c r="C238" s="1709"/>
      <c r="D238" s="1709"/>
      <c r="E238" s="1709"/>
      <c r="F238" s="1709"/>
      <c r="G238" s="986">
        <v>6</v>
      </c>
      <c r="H238" s="971" t="s">
        <v>80</v>
      </c>
      <c r="I238" s="972">
        <v>29.32</v>
      </c>
      <c r="J238" s="989">
        <f t="shared" si="13"/>
        <v>175.92</v>
      </c>
      <c r="K238" s="990" t="s">
        <v>618</v>
      </c>
      <c r="L238" s="792"/>
      <c r="M238" s="868"/>
    </row>
    <row r="239" spans="1:13" s="154" customFormat="1" ht="33.6" customHeight="1">
      <c r="A239" s="985" t="s">
        <v>135</v>
      </c>
      <c r="B239" s="1709" t="s">
        <v>140</v>
      </c>
      <c r="C239" s="1709"/>
      <c r="D239" s="1709"/>
      <c r="E239" s="1709"/>
      <c r="F239" s="1709"/>
      <c r="G239" s="986">
        <v>2</v>
      </c>
      <c r="H239" s="971" t="s">
        <v>80</v>
      </c>
      <c r="I239" s="972">
        <v>21.88</v>
      </c>
      <c r="J239" s="989">
        <f t="shared" si="13"/>
        <v>43.76</v>
      </c>
      <c r="K239" s="990" t="s">
        <v>619</v>
      </c>
      <c r="L239" s="792"/>
      <c r="M239" s="868"/>
    </row>
    <row r="240" spans="1:13" s="154" customFormat="1" ht="33.6" customHeight="1">
      <c r="A240" s="985" t="s">
        <v>137</v>
      </c>
      <c r="B240" s="1709" t="s">
        <v>142</v>
      </c>
      <c r="C240" s="1709"/>
      <c r="D240" s="1709"/>
      <c r="E240" s="1709"/>
      <c r="F240" s="1709"/>
      <c r="G240" s="986">
        <v>4</v>
      </c>
      <c r="H240" s="971" t="s">
        <v>80</v>
      </c>
      <c r="I240" s="972">
        <v>22.46</v>
      </c>
      <c r="J240" s="989">
        <f t="shared" si="13"/>
        <v>89.84</v>
      </c>
      <c r="K240" s="990" t="s">
        <v>620</v>
      </c>
      <c r="L240" s="792"/>
      <c r="M240" s="868"/>
    </row>
    <row r="241" spans="1:13" s="16" customFormat="1" ht="30" customHeight="1">
      <c r="A241" s="985" t="s">
        <v>462</v>
      </c>
      <c r="B241" s="1703" t="s">
        <v>622</v>
      </c>
      <c r="C241" s="1704"/>
      <c r="D241" s="1704"/>
      <c r="E241" s="1704"/>
      <c r="F241" s="1705"/>
      <c r="G241" s="986">
        <v>1</v>
      </c>
      <c r="H241" s="977" t="s">
        <v>80</v>
      </c>
      <c r="I241" s="972">
        <v>2374.9499999999998</v>
      </c>
      <c r="J241" s="991">
        <f>SUM(G241*I241)</f>
        <v>2374.9499999999998</v>
      </c>
      <c r="K241" s="992" t="s">
        <v>621</v>
      </c>
      <c r="L241" s="789"/>
      <c r="M241" s="800"/>
    </row>
    <row r="242" spans="1:13" s="172" customFormat="1" ht="12.6" customHeight="1">
      <c r="A242" s="906"/>
      <c r="B242" s="873"/>
      <c r="C242" s="891"/>
      <c r="D242" s="891"/>
      <c r="E242" s="891"/>
      <c r="F242" s="874"/>
      <c r="G242" s="890"/>
      <c r="H242" s="895"/>
      <c r="I242" s="190"/>
      <c r="J242" s="289"/>
      <c r="K242" s="689"/>
      <c r="L242" s="795"/>
      <c r="M242" s="870"/>
    </row>
    <row r="243" spans="1:13" s="16" customFormat="1" ht="13.15" customHeight="1">
      <c r="A243" s="380">
        <v>9</v>
      </c>
      <c r="B243" s="1301" t="s">
        <v>209</v>
      </c>
      <c r="C243" s="1302"/>
      <c r="D243" s="1302"/>
      <c r="E243" s="1302"/>
      <c r="F243" s="1303"/>
      <c r="G243" s="182"/>
      <c r="H243" s="524"/>
      <c r="I243" s="638"/>
      <c r="J243" s="696">
        <f>SUM(J244:J264)</f>
        <v>13575.289999999999</v>
      </c>
      <c r="K243" s="687"/>
      <c r="L243" s="789"/>
      <c r="M243" s="800"/>
    </row>
    <row r="244" spans="1:13" s="759" customFormat="1" ht="15" customHeight="1">
      <c r="A244" s="760" t="s">
        <v>144</v>
      </c>
      <c r="B244" s="1648" t="s">
        <v>331</v>
      </c>
      <c r="C244" s="1649"/>
      <c r="D244" s="1649"/>
      <c r="E244" s="1649"/>
      <c r="F244" s="1650"/>
      <c r="G244" s="767">
        <v>1</v>
      </c>
      <c r="H244" s="774" t="s">
        <v>80</v>
      </c>
      <c r="I244" s="860">
        <f>Plan1!I242*92%</f>
        <v>333.02160000000003</v>
      </c>
      <c r="J244" s="751">
        <f>ROUND(G244*I244,2)</f>
        <v>333.02</v>
      </c>
      <c r="K244" s="1651" t="s">
        <v>543</v>
      </c>
      <c r="L244" s="791">
        <f>J244</f>
        <v>333.02</v>
      </c>
      <c r="M244" s="865"/>
    </row>
    <row r="245" spans="1:13" s="759" customFormat="1" ht="26.45" customHeight="1">
      <c r="A245" s="760" t="s">
        <v>145</v>
      </c>
      <c r="B245" s="1654" t="s">
        <v>330</v>
      </c>
      <c r="C245" s="1655"/>
      <c r="D245" s="1655"/>
      <c r="E245" s="1655"/>
      <c r="F245" s="1656"/>
      <c r="G245" s="767">
        <v>18</v>
      </c>
      <c r="H245" s="774" t="s">
        <v>52</v>
      </c>
      <c r="I245" s="860">
        <f>Plan1!I243*92%</f>
        <v>14.048400000000001</v>
      </c>
      <c r="J245" s="751">
        <f t="shared" ref="J245:J263" si="15">ROUND(G245*I245,2)</f>
        <v>252.87</v>
      </c>
      <c r="K245" s="1652"/>
      <c r="L245" s="791">
        <f t="shared" ref="L245:L250" si="16">J245</f>
        <v>252.87</v>
      </c>
      <c r="M245" s="865"/>
    </row>
    <row r="246" spans="1:13" s="759" customFormat="1" ht="15" customHeight="1">
      <c r="A246" s="760" t="s">
        <v>147</v>
      </c>
      <c r="B246" s="1648" t="s">
        <v>148</v>
      </c>
      <c r="C246" s="1649"/>
      <c r="D246" s="1649"/>
      <c r="E246" s="1649"/>
      <c r="F246" s="1650"/>
      <c r="G246" s="767">
        <v>1</v>
      </c>
      <c r="H246" s="774" t="s">
        <v>80</v>
      </c>
      <c r="I246" s="860">
        <f>Plan1!I244*92%</f>
        <v>76.001199999999997</v>
      </c>
      <c r="J246" s="751">
        <f t="shared" si="15"/>
        <v>76</v>
      </c>
      <c r="K246" s="1652"/>
      <c r="L246" s="791">
        <f t="shared" si="16"/>
        <v>76</v>
      </c>
      <c r="M246" s="865"/>
    </row>
    <row r="247" spans="1:13" s="759" customFormat="1" ht="15" customHeight="1">
      <c r="A247" s="760" t="s">
        <v>149</v>
      </c>
      <c r="B247" s="1648" t="s">
        <v>150</v>
      </c>
      <c r="C247" s="1649"/>
      <c r="D247" s="1649"/>
      <c r="E247" s="1649"/>
      <c r="F247" s="1650"/>
      <c r="G247" s="767">
        <v>1</v>
      </c>
      <c r="H247" s="774" t="s">
        <v>80</v>
      </c>
      <c r="I247" s="860">
        <f>Plan1!I245*92%</f>
        <v>46.303600000000003</v>
      </c>
      <c r="J247" s="751">
        <f t="shared" si="15"/>
        <v>46.3</v>
      </c>
      <c r="K247" s="1652"/>
      <c r="L247" s="791">
        <f t="shared" si="16"/>
        <v>46.3</v>
      </c>
      <c r="M247" s="865"/>
    </row>
    <row r="248" spans="1:13" s="759" customFormat="1" ht="27.6" customHeight="1">
      <c r="A248" s="760" t="s">
        <v>151</v>
      </c>
      <c r="B248" s="1654" t="s">
        <v>329</v>
      </c>
      <c r="C248" s="1655"/>
      <c r="D248" s="1655"/>
      <c r="E248" s="1655"/>
      <c r="F248" s="1656"/>
      <c r="G248" s="767">
        <v>48</v>
      </c>
      <c r="H248" s="774" t="s">
        <v>52</v>
      </c>
      <c r="I248" s="860">
        <f>Plan1!I246*92%</f>
        <v>14.959200000000003</v>
      </c>
      <c r="J248" s="751">
        <f t="shared" si="15"/>
        <v>718.04</v>
      </c>
      <c r="K248" s="1652"/>
      <c r="L248" s="791">
        <f t="shared" si="16"/>
        <v>718.04</v>
      </c>
      <c r="M248" s="865"/>
    </row>
    <row r="249" spans="1:13" s="759" customFormat="1" ht="30" customHeight="1">
      <c r="A249" s="760" t="s">
        <v>153</v>
      </c>
      <c r="B249" s="1654" t="s">
        <v>154</v>
      </c>
      <c r="C249" s="1655"/>
      <c r="D249" s="1655"/>
      <c r="E249" s="1655"/>
      <c r="F249" s="1656"/>
      <c r="G249" s="767">
        <v>2</v>
      </c>
      <c r="H249" s="774" t="s">
        <v>80</v>
      </c>
      <c r="I249" s="860">
        <f>Plan1!I247*92%</f>
        <v>101.15400000000001</v>
      </c>
      <c r="J249" s="751">
        <f t="shared" si="15"/>
        <v>202.31</v>
      </c>
      <c r="K249" s="1652"/>
      <c r="L249" s="791">
        <f t="shared" si="16"/>
        <v>202.31</v>
      </c>
      <c r="M249" s="865"/>
    </row>
    <row r="250" spans="1:13" s="759" customFormat="1" ht="26.25" customHeight="1" thickBot="1">
      <c r="A250" s="783" t="s">
        <v>155</v>
      </c>
      <c r="B250" s="1657" t="s">
        <v>156</v>
      </c>
      <c r="C250" s="1658"/>
      <c r="D250" s="1658"/>
      <c r="E250" s="1658"/>
      <c r="F250" s="1659"/>
      <c r="G250" s="784">
        <v>3</v>
      </c>
      <c r="H250" s="785" t="s">
        <v>80</v>
      </c>
      <c r="I250" s="862">
        <f>Plan1!I248*92%</f>
        <v>63.71</v>
      </c>
      <c r="J250" s="754">
        <f t="shared" si="15"/>
        <v>191.13</v>
      </c>
      <c r="K250" s="1653"/>
      <c r="L250" s="791">
        <f t="shared" si="16"/>
        <v>191.13</v>
      </c>
      <c r="M250" s="865"/>
    </row>
    <row r="251" spans="1:13" s="16" customFormat="1" ht="13.9" customHeight="1" thickTop="1">
      <c r="A251" s="175"/>
      <c r="B251" s="918"/>
      <c r="C251" s="918"/>
      <c r="D251" s="918"/>
      <c r="E251" s="918"/>
      <c r="F251" s="918"/>
      <c r="G251" s="552"/>
      <c r="H251" s="175"/>
      <c r="I251" s="628"/>
      <c r="J251" s="553"/>
      <c r="K251" s="584"/>
      <c r="L251" s="789"/>
      <c r="M251" s="800"/>
    </row>
    <row r="252" spans="1:13" s="16" customFormat="1" ht="13.9" customHeight="1" thickBot="1">
      <c r="A252" s="399"/>
      <c r="B252" s="550"/>
      <c r="C252" s="550"/>
      <c r="D252" s="550"/>
      <c r="E252" s="550"/>
      <c r="F252" s="550"/>
      <c r="G252" s="432"/>
      <c r="H252" s="399"/>
      <c r="I252" s="644"/>
      <c r="J252" s="448"/>
      <c r="K252" s="584"/>
      <c r="L252" s="789"/>
      <c r="M252" s="800"/>
    </row>
    <row r="253" spans="1:13" s="154" customFormat="1" ht="34.9" customHeight="1" thickTop="1">
      <c r="A253" s="993" t="s">
        <v>184</v>
      </c>
      <c r="B253" s="1706" t="s">
        <v>517</v>
      </c>
      <c r="C253" s="1707"/>
      <c r="D253" s="1707"/>
      <c r="E253" s="1707"/>
      <c r="F253" s="1708"/>
      <c r="G253" s="986">
        <v>4</v>
      </c>
      <c r="H253" s="987" t="s">
        <v>80</v>
      </c>
      <c r="I253" s="972">
        <v>204.1</v>
      </c>
      <c r="J253" s="994">
        <f t="shared" si="15"/>
        <v>816.4</v>
      </c>
      <c r="K253" s="974" t="s">
        <v>623</v>
      </c>
      <c r="L253" s="792"/>
      <c r="M253" s="868"/>
    </row>
    <row r="254" spans="1:13" s="759" customFormat="1" ht="18" customHeight="1">
      <c r="A254" s="760" t="s">
        <v>185</v>
      </c>
      <c r="B254" s="1648" t="s">
        <v>160</v>
      </c>
      <c r="C254" s="1649"/>
      <c r="D254" s="1649"/>
      <c r="E254" s="1649"/>
      <c r="F254" s="1650"/>
      <c r="G254" s="767">
        <v>3</v>
      </c>
      <c r="H254" s="774" t="s">
        <v>80</v>
      </c>
      <c r="I254" s="860">
        <f>Plan1!I250*92%</f>
        <v>46.211599999999997</v>
      </c>
      <c r="J254" s="751">
        <f t="shared" si="15"/>
        <v>138.63</v>
      </c>
      <c r="K254" s="1651" t="s">
        <v>543</v>
      </c>
      <c r="L254" s="791">
        <f>J254</f>
        <v>138.63</v>
      </c>
      <c r="M254" s="865"/>
    </row>
    <row r="255" spans="1:13" s="759" customFormat="1" ht="28.15" customHeight="1">
      <c r="A255" s="760" t="s">
        <v>157</v>
      </c>
      <c r="B255" s="1654" t="s">
        <v>328</v>
      </c>
      <c r="C255" s="1655"/>
      <c r="D255" s="1655"/>
      <c r="E255" s="1655"/>
      <c r="F255" s="1656"/>
      <c r="G255" s="767">
        <v>48</v>
      </c>
      <c r="H255" s="774" t="s">
        <v>52</v>
      </c>
      <c r="I255" s="860">
        <f>Plan1!I251*92%</f>
        <v>37.894799999999996</v>
      </c>
      <c r="J255" s="751">
        <f t="shared" si="15"/>
        <v>1818.95</v>
      </c>
      <c r="K255" s="1652"/>
      <c r="L255" s="791">
        <f>J255-0.1</f>
        <v>1818.8500000000001</v>
      </c>
      <c r="M255" s="865"/>
    </row>
    <row r="256" spans="1:13" s="759" customFormat="1" ht="30.6" customHeight="1">
      <c r="A256" s="760" t="s">
        <v>159</v>
      </c>
      <c r="B256" s="1654" t="s">
        <v>327</v>
      </c>
      <c r="C256" s="1655"/>
      <c r="D256" s="1655"/>
      <c r="E256" s="1655"/>
      <c r="F256" s="1656"/>
      <c r="G256" s="767">
        <v>12</v>
      </c>
      <c r="H256" s="774" t="s">
        <v>52</v>
      </c>
      <c r="I256" s="860">
        <f>Plan1!I252*92%</f>
        <v>22.033999999999999</v>
      </c>
      <c r="J256" s="751">
        <f t="shared" si="15"/>
        <v>264.41000000000003</v>
      </c>
      <c r="K256" s="1653"/>
      <c r="L256" s="791">
        <f t="shared" ref="L256" si="17">J256</f>
        <v>264.41000000000003</v>
      </c>
      <c r="M256" s="865"/>
    </row>
    <row r="257" spans="1:13" s="154" customFormat="1" ht="34.9" customHeight="1">
      <c r="A257" s="993" t="s">
        <v>186</v>
      </c>
      <c r="B257" s="1706" t="s">
        <v>167</v>
      </c>
      <c r="C257" s="1707"/>
      <c r="D257" s="1707"/>
      <c r="E257" s="1707"/>
      <c r="F257" s="1708"/>
      <c r="G257" s="986">
        <v>3</v>
      </c>
      <c r="H257" s="987" t="s">
        <v>326</v>
      </c>
      <c r="I257" s="972">
        <v>632.15</v>
      </c>
      <c r="J257" s="994">
        <f t="shared" si="15"/>
        <v>1896.45</v>
      </c>
      <c r="K257" s="974" t="s">
        <v>624</v>
      </c>
      <c r="L257" s="792"/>
      <c r="M257" s="868"/>
    </row>
    <row r="258" spans="1:13" s="154" customFormat="1" ht="34.9" customHeight="1">
      <c r="A258" s="993" t="s">
        <v>161</v>
      </c>
      <c r="B258" s="1706" t="s">
        <v>169</v>
      </c>
      <c r="C258" s="1707"/>
      <c r="D258" s="1707"/>
      <c r="E258" s="1707"/>
      <c r="F258" s="1708"/>
      <c r="G258" s="986">
        <v>2</v>
      </c>
      <c r="H258" s="987" t="s">
        <v>80</v>
      </c>
      <c r="I258" s="972">
        <v>250.53</v>
      </c>
      <c r="J258" s="994">
        <f t="shared" si="15"/>
        <v>501.06</v>
      </c>
      <c r="K258" s="974" t="s">
        <v>625</v>
      </c>
      <c r="L258" s="792"/>
      <c r="M258" s="868"/>
    </row>
    <row r="259" spans="1:13" s="154" customFormat="1" ht="34.9" customHeight="1">
      <c r="A259" s="993" t="s">
        <v>163</v>
      </c>
      <c r="B259" s="1706" t="s">
        <v>171</v>
      </c>
      <c r="C259" s="1707"/>
      <c r="D259" s="1707"/>
      <c r="E259" s="1707"/>
      <c r="F259" s="1708"/>
      <c r="G259" s="986">
        <v>2</v>
      </c>
      <c r="H259" s="987" t="s">
        <v>80</v>
      </c>
      <c r="I259" s="972">
        <v>420.6</v>
      </c>
      <c r="J259" s="994">
        <f t="shared" si="15"/>
        <v>841.2</v>
      </c>
      <c r="K259" s="974" t="s">
        <v>626</v>
      </c>
      <c r="L259" s="792"/>
      <c r="M259" s="868"/>
    </row>
    <row r="260" spans="1:13" s="154" customFormat="1" ht="34.9" customHeight="1">
      <c r="A260" s="993" t="s">
        <v>187</v>
      </c>
      <c r="B260" s="1706" t="s">
        <v>518</v>
      </c>
      <c r="C260" s="1707"/>
      <c r="D260" s="1707"/>
      <c r="E260" s="1707"/>
      <c r="F260" s="1708"/>
      <c r="G260" s="986">
        <v>2</v>
      </c>
      <c r="H260" s="987" t="s">
        <v>80</v>
      </c>
      <c r="I260" s="972">
        <v>900.31</v>
      </c>
      <c r="J260" s="994">
        <f t="shared" si="15"/>
        <v>1800.62</v>
      </c>
      <c r="K260" s="974" t="s">
        <v>627</v>
      </c>
      <c r="L260" s="792"/>
      <c r="M260" s="868"/>
    </row>
    <row r="261" spans="1:13" s="154" customFormat="1" ht="34.9" customHeight="1">
      <c r="A261" s="993" t="s">
        <v>166</v>
      </c>
      <c r="B261" s="1706" t="s">
        <v>175</v>
      </c>
      <c r="C261" s="1707"/>
      <c r="D261" s="1707"/>
      <c r="E261" s="1707"/>
      <c r="F261" s="1708"/>
      <c r="G261" s="986">
        <v>2</v>
      </c>
      <c r="H261" s="987" t="s">
        <v>80</v>
      </c>
      <c r="I261" s="972">
        <v>1346.45</v>
      </c>
      <c r="J261" s="994">
        <f t="shared" si="15"/>
        <v>2692.9</v>
      </c>
      <c r="K261" s="974" t="s">
        <v>628</v>
      </c>
      <c r="L261" s="792"/>
      <c r="M261" s="868"/>
    </row>
    <row r="262" spans="1:13" s="154" customFormat="1" ht="34.9" customHeight="1">
      <c r="A262" s="993" t="s">
        <v>168</v>
      </c>
      <c r="B262" s="1706" t="s">
        <v>177</v>
      </c>
      <c r="C262" s="1707"/>
      <c r="D262" s="1707"/>
      <c r="E262" s="1707"/>
      <c r="F262" s="1708"/>
      <c r="G262" s="986">
        <v>4</v>
      </c>
      <c r="H262" s="987" t="s">
        <v>80</v>
      </c>
      <c r="I262" s="972">
        <v>175.04</v>
      </c>
      <c r="J262" s="994">
        <f>ROUND(G262*I262,2)</f>
        <v>700.16</v>
      </c>
      <c r="K262" s="974" t="s">
        <v>629</v>
      </c>
      <c r="L262" s="792"/>
      <c r="M262" s="868"/>
    </row>
    <row r="263" spans="1:13" s="154" customFormat="1" ht="34.9" customHeight="1">
      <c r="A263" s="993" t="s">
        <v>170</v>
      </c>
      <c r="B263" s="1706" t="s">
        <v>179</v>
      </c>
      <c r="C263" s="1707"/>
      <c r="D263" s="1707"/>
      <c r="E263" s="1707"/>
      <c r="F263" s="1708"/>
      <c r="G263" s="986">
        <v>2</v>
      </c>
      <c r="H263" s="987" t="s">
        <v>80</v>
      </c>
      <c r="I263" s="972">
        <v>103.52</v>
      </c>
      <c r="J263" s="994">
        <f t="shared" si="15"/>
        <v>207.04</v>
      </c>
      <c r="K263" s="974" t="s">
        <v>630</v>
      </c>
      <c r="L263" s="792"/>
      <c r="M263" s="868"/>
    </row>
    <row r="264" spans="1:13" s="154" customFormat="1" ht="34.9" customHeight="1">
      <c r="A264" s="993" t="s">
        <v>172</v>
      </c>
      <c r="B264" s="1706" t="s">
        <v>317</v>
      </c>
      <c r="C264" s="1707"/>
      <c r="D264" s="1707"/>
      <c r="E264" s="1707"/>
      <c r="F264" s="1708"/>
      <c r="G264" s="986">
        <v>1</v>
      </c>
      <c r="H264" s="987" t="s">
        <v>80</v>
      </c>
      <c r="I264" s="972">
        <v>77.8</v>
      </c>
      <c r="J264" s="994">
        <f>ROUND(G264*I264,2)</f>
        <v>77.8</v>
      </c>
      <c r="K264" s="974" t="s">
        <v>631</v>
      </c>
      <c r="L264" s="792"/>
      <c r="M264" s="868"/>
    </row>
    <row r="265" spans="1:13" s="16" customFormat="1" ht="16.899999999999999" customHeight="1">
      <c r="A265" s="385"/>
      <c r="B265" s="902"/>
      <c r="C265" s="903"/>
      <c r="D265" s="903"/>
      <c r="E265" s="903"/>
      <c r="F265" s="904"/>
      <c r="G265" s="231"/>
      <c r="H265" s="527"/>
      <c r="I265" s="529"/>
      <c r="J265" s="698"/>
      <c r="K265" s="690"/>
      <c r="L265" s="789"/>
      <c r="M265" s="800"/>
    </row>
    <row r="266" spans="1:13" s="16" customFormat="1" ht="16.5" customHeight="1">
      <c r="A266" s="380">
        <v>10</v>
      </c>
      <c r="B266" s="1310" t="s">
        <v>190</v>
      </c>
      <c r="C266" s="1311"/>
      <c r="D266" s="1311"/>
      <c r="E266" s="1311"/>
      <c r="F266" s="1312"/>
      <c r="G266" s="182"/>
      <c r="H266" s="524"/>
      <c r="I266" s="638"/>
      <c r="J266" s="696">
        <f>ROUND(SUM(J267:J268),2)</f>
        <v>2873.53</v>
      </c>
      <c r="K266" s="687"/>
      <c r="L266" s="789"/>
      <c r="M266" s="800"/>
    </row>
    <row r="267" spans="1:13" s="154" customFormat="1" ht="34.9" customHeight="1">
      <c r="A267" s="993" t="s">
        <v>194</v>
      </c>
      <c r="B267" s="1706" t="s">
        <v>632</v>
      </c>
      <c r="C267" s="1707"/>
      <c r="D267" s="1707"/>
      <c r="E267" s="1707"/>
      <c r="F267" s="1708"/>
      <c r="G267" s="986">
        <v>9</v>
      </c>
      <c r="H267" s="987" t="s">
        <v>96</v>
      </c>
      <c r="I267" s="972">
        <v>35.94</v>
      </c>
      <c r="J267" s="994">
        <f>ROUND(G267*I267,2)</f>
        <v>323.45999999999998</v>
      </c>
      <c r="K267" s="974" t="s">
        <v>633</v>
      </c>
      <c r="L267" s="792"/>
      <c r="M267" s="868"/>
    </row>
    <row r="268" spans="1:13" s="154" customFormat="1" ht="34.9" customHeight="1">
      <c r="A268" s="993" t="s">
        <v>596</v>
      </c>
      <c r="B268" s="1706" t="s">
        <v>193</v>
      </c>
      <c r="C268" s="1707"/>
      <c r="D268" s="1707"/>
      <c r="E268" s="1707"/>
      <c r="F268" s="1708"/>
      <c r="G268" s="986">
        <v>105.9</v>
      </c>
      <c r="H268" s="987" t="s">
        <v>96</v>
      </c>
      <c r="I268" s="972">
        <v>24.08</v>
      </c>
      <c r="J268" s="994">
        <f>ROUND(G268*I268,2)</f>
        <v>2550.0700000000002</v>
      </c>
      <c r="K268" s="974" t="s">
        <v>634</v>
      </c>
      <c r="L268" s="792"/>
      <c r="M268" s="868"/>
    </row>
    <row r="269" spans="1:13" s="16" customFormat="1" ht="13.9" customHeight="1">
      <c r="A269" s="906"/>
      <c r="B269" s="873"/>
      <c r="C269" s="891"/>
      <c r="D269" s="891"/>
      <c r="E269" s="891"/>
      <c r="F269" s="874"/>
      <c r="G269" s="890"/>
      <c r="H269" s="895"/>
      <c r="I269" s="190"/>
      <c r="J269" s="289"/>
      <c r="K269" s="689"/>
      <c r="L269" s="789"/>
      <c r="M269" s="800"/>
    </row>
    <row r="270" spans="1:13" s="16" customFormat="1" ht="15.6" customHeight="1">
      <c r="A270" s="439">
        <v>11</v>
      </c>
      <c r="B270" s="1310" t="s">
        <v>195</v>
      </c>
      <c r="C270" s="1311"/>
      <c r="D270" s="1311"/>
      <c r="E270" s="1311"/>
      <c r="F270" s="1312"/>
      <c r="G270" s="182"/>
      <c r="H270" s="524"/>
      <c r="I270" s="638"/>
      <c r="J270" s="696">
        <f>ROUND(SUM(J271:J279),2)</f>
        <v>23488.33</v>
      </c>
      <c r="K270" s="687"/>
      <c r="L270" s="789"/>
      <c r="M270" s="800"/>
    </row>
    <row r="271" spans="1:13" s="154" customFormat="1" ht="34.9" customHeight="1">
      <c r="A271" s="993" t="s">
        <v>197</v>
      </c>
      <c r="B271" s="1706" t="s">
        <v>196</v>
      </c>
      <c r="C271" s="1707"/>
      <c r="D271" s="1707"/>
      <c r="E271" s="1707"/>
      <c r="F271" s="1708"/>
      <c r="G271" s="986">
        <v>4.8</v>
      </c>
      <c r="H271" s="987" t="s">
        <v>96</v>
      </c>
      <c r="I271" s="972">
        <v>243.32</v>
      </c>
      <c r="J271" s="994">
        <f>ROUND(G271*I271,2)</f>
        <v>1167.94</v>
      </c>
      <c r="K271" s="974" t="s">
        <v>635</v>
      </c>
      <c r="L271" s="792"/>
      <c r="M271" s="868"/>
    </row>
    <row r="272" spans="1:13" s="154" customFormat="1" ht="34.9" customHeight="1">
      <c r="A272" s="993" t="s">
        <v>338</v>
      </c>
      <c r="B272" s="1706" t="s">
        <v>519</v>
      </c>
      <c r="C272" s="1707"/>
      <c r="D272" s="1707"/>
      <c r="E272" s="1707"/>
      <c r="F272" s="1708"/>
      <c r="G272" s="986">
        <v>2</v>
      </c>
      <c r="H272" s="987" t="s">
        <v>189</v>
      </c>
      <c r="I272" s="972">
        <v>388.42</v>
      </c>
      <c r="J272" s="994">
        <f t="shared" ref="J272:J279" si="18">ROUND(G272*I272,2)</f>
        <v>776.84</v>
      </c>
      <c r="K272" s="974" t="s">
        <v>636</v>
      </c>
      <c r="L272" s="792"/>
      <c r="M272" s="868"/>
    </row>
    <row r="273" spans="1:13" s="154" customFormat="1" ht="34.9" customHeight="1">
      <c r="A273" s="993" t="s">
        <v>339</v>
      </c>
      <c r="B273" s="1706" t="s">
        <v>180</v>
      </c>
      <c r="C273" s="1707"/>
      <c r="D273" s="1707"/>
      <c r="E273" s="1707"/>
      <c r="F273" s="1708"/>
      <c r="G273" s="986">
        <v>2</v>
      </c>
      <c r="H273" s="987" t="s">
        <v>80</v>
      </c>
      <c r="I273" s="972">
        <v>319.54000000000002</v>
      </c>
      <c r="J273" s="994">
        <f t="shared" si="18"/>
        <v>639.08000000000004</v>
      </c>
      <c r="K273" s="974" t="s">
        <v>637</v>
      </c>
      <c r="L273" s="792"/>
      <c r="M273" s="868"/>
    </row>
    <row r="274" spans="1:13" s="154" customFormat="1" ht="34.9" customHeight="1">
      <c r="A274" s="993" t="s">
        <v>340</v>
      </c>
      <c r="B274" s="1706" t="s">
        <v>181</v>
      </c>
      <c r="C274" s="1707"/>
      <c r="D274" s="1707"/>
      <c r="E274" s="1707"/>
      <c r="F274" s="1708"/>
      <c r="G274" s="986">
        <v>2</v>
      </c>
      <c r="H274" s="987" t="s">
        <v>80</v>
      </c>
      <c r="I274" s="972">
        <v>939.53</v>
      </c>
      <c r="J274" s="994">
        <f t="shared" si="18"/>
        <v>1879.06</v>
      </c>
      <c r="K274" s="974" t="s">
        <v>638</v>
      </c>
      <c r="L274" s="792"/>
      <c r="M274" s="868"/>
    </row>
    <row r="275" spans="1:13" s="759" customFormat="1" ht="34.9" customHeight="1">
      <c r="A275" s="775" t="s">
        <v>341</v>
      </c>
      <c r="B275" s="1645" t="s">
        <v>182</v>
      </c>
      <c r="C275" s="1646"/>
      <c r="D275" s="1646"/>
      <c r="E275" s="1646"/>
      <c r="F275" s="1647"/>
      <c r="G275" s="767">
        <v>20</v>
      </c>
      <c r="H275" s="770" t="s">
        <v>96</v>
      </c>
      <c r="I275" s="860">
        <v>156.16999999999999</v>
      </c>
      <c r="J275" s="750">
        <f t="shared" si="18"/>
        <v>3123.4</v>
      </c>
      <c r="K275" s="766" t="s">
        <v>543</v>
      </c>
      <c r="L275" s="791">
        <f>J275</f>
        <v>3123.4</v>
      </c>
      <c r="M275" s="865"/>
    </row>
    <row r="276" spans="1:13" s="154" customFormat="1" ht="34.9" customHeight="1">
      <c r="A276" s="993" t="s">
        <v>341</v>
      </c>
      <c r="B276" s="1706" t="s">
        <v>182</v>
      </c>
      <c r="C276" s="1707"/>
      <c r="D276" s="1707"/>
      <c r="E276" s="1707"/>
      <c r="F276" s="1708"/>
      <c r="G276" s="986">
        <v>20</v>
      </c>
      <c r="H276" s="987" t="s">
        <v>96</v>
      </c>
      <c r="I276" s="972">
        <v>210.27</v>
      </c>
      <c r="J276" s="994">
        <f t="shared" si="18"/>
        <v>4205.3999999999996</v>
      </c>
      <c r="K276" s="974" t="s">
        <v>639</v>
      </c>
      <c r="L276" s="792"/>
      <c r="M276" s="868"/>
    </row>
    <row r="277" spans="1:13" s="154" customFormat="1" ht="34.9" customHeight="1">
      <c r="A277" s="993" t="s">
        <v>342</v>
      </c>
      <c r="B277" s="1706" t="s">
        <v>640</v>
      </c>
      <c r="C277" s="1707"/>
      <c r="D277" s="1707"/>
      <c r="E277" s="1707"/>
      <c r="F277" s="1708"/>
      <c r="G277" s="986">
        <v>3</v>
      </c>
      <c r="H277" s="987" t="s">
        <v>80</v>
      </c>
      <c r="I277" s="972">
        <v>358.54</v>
      </c>
      <c r="J277" s="994">
        <f t="shared" si="18"/>
        <v>1075.6199999999999</v>
      </c>
      <c r="K277" s="974" t="s">
        <v>641</v>
      </c>
      <c r="L277" s="792"/>
      <c r="M277" s="868"/>
    </row>
    <row r="278" spans="1:13" s="154" customFormat="1" ht="34.9" customHeight="1">
      <c r="A278" s="985" t="s">
        <v>343</v>
      </c>
      <c r="B278" s="1703" t="s">
        <v>344</v>
      </c>
      <c r="C278" s="1704"/>
      <c r="D278" s="1704"/>
      <c r="E278" s="1704"/>
      <c r="F278" s="1705"/>
      <c r="G278" s="986">
        <f>6+3</f>
        <v>9</v>
      </c>
      <c r="H278" s="977" t="s">
        <v>96</v>
      </c>
      <c r="I278" s="972">
        <v>1104.3900000000001</v>
      </c>
      <c r="J278" s="994">
        <f t="shared" si="18"/>
        <v>9939.51</v>
      </c>
      <c r="K278" s="974" t="s">
        <v>642</v>
      </c>
      <c r="L278" s="792"/>
      <c r="M278" s="868"/>
    </row>
    <row r="279" spans="1:13" s="154" customFormat="1" ht="34.9" customHeight="1">
      <c r="A279" s="969" t="s">
        <v>368</v>
      </c>
      <c r="B279" s="1703" t="s">
        <v>544</v>
      </c>
      <c r="C279" s="1704"/>
      <c r="D279" s="1704"/>
      <c r="E279" s="1704"/>
      <c r="F279" s="1705"/>
      <c r="G279" s="986">
        <v>18</v>
      </c>
      <c r="H279" s="977" t="s">
        <v>96</v>
      </c>
      <c r="I279" s="972">
        <v>37.86</v>
      </c>
      <c r="J279" s="994">
        <f t="shared" si="18"/>
        <v>681.48</v>
      </c>
      <c r="K279" s="974" t="s">
        <v>643</v>
      </c>
      <c r="L279" s="792"/>
      <c r="M279" s="792">
        <f>SUM(L187:L276)+0.1</f>
        <v>29767.950000000004</v>
      </c>
    </row>
    <row r="280" spans="1:13" s="16" customFormat="1" ht="16.899999999999999" customHeight="1">
      <c r="A280" s="397"/>
      <c r="B280" s="1514"/>
      <c r="C280" s="1515"/>
      <c r="D280" s="1515"/>
      <c r="E280" s="1515"/>
      <c r="F280" s="1516"/>
      <c r="G280" s="236"/>
      <c r="H280" s="237"/>
      <c r="I280" s="645"/>
      <c r="J280" s="672"/>
      <c r="K280" s="690"/>
      <c r="L280" s="789"/>
      <c r="M280" s="800"/>
    </row>
    <row r="281" spans="1:13" s="16" customFormat="1" ht="15.6" customHeight="1">
      <c r="A281" s="416"/>
      <c r="B281" s="293"/>
      <c r="C281" s="293"/>
      <c r="D281" s="293"/>
      <c r="E281" s="293"/>
      <c r="F281" s="293"/>
      <c r="G281" s="264"/>
      <c r="H281" s="878" t="s">
        <v>286</v>
      </c>
      <c r="I281" s="646"/>
      <c r="J281" s="666">
        <f>ROUND(J270+J266+J243+J226+J219+J214+J211+J206+J199+J190+J187,2)-M279</f>
        <v>47537.43</v>
      </c>
      <c r="K281" s="687"/>
      <c r="L281" s="791">
        <f>SUM(L141:L280)-1.26</f>
        <v>181534.41999999998</v>
      </c>
      <c r="M281" s="800"/>
    </row>
    <row r="282" spans="1:13" s="16" customFormat="1" ht="15.6" customHeight="1">
      <c r="A282" s="460"/>
      <c r="B282" s="898"/>
      <c r="C282" s="898"/>
      <c r="D282" s="898"/>
      <c r="E282" s="898"/>
      <c r="F282" s="898"/>
      <c r="G282" s="294"/>
      <c r="H282" s="595"/>
      <c r="I282" s="647"/>
      <c r="J282" s="701"/>
      <c r="K282" s="687"/>
      <c r="L282" s="789"/>
      <c r="M282" s="800"/>
    </row>
    <row r="283" spans="1:13" s="16" customFormat="1" ht="12.6" customHeight="1">
      <c r="A283" s="460"/>
      <c r="B283" s="898"/>
      <c r="C283" s="898"/>
      <c r="D283" s="898"/>
      <c r="E283" s="898"/>
      <c r="F283" s="898"/>
      <c r="G283" s="294"/>
      <c r="H283" s="254"/>
      <c r="I283" s="647"/>
      <c r="J283" s="701"/>
      <c r="K283" s="687"/>
      <c r="L283" s="789"/>
      <c r="M283" s="800"/>
    </row>
    <row r="284" spans="1:13" s="16" customFormat="1" ht="14.45" customHeight="1">
      <c r="A284" s="1526" t="s">
        <v>463</v>
      </c>
      <c r="B284" s="1317"/>
      <c r="C284" s="1317"/>
      <c r="D284" s="1317"/>
      <c r="E284" s="1317"/>
      <c r="F284" s="1317"/>
      <c r="G284" s="1317"/>
      <c r="H284" s="1317"/>
      <c r="I284" s="1317"/>
      <c r="J284" s="1317"/>
      <c r="K284" s="684"/>
      <c r="L284" s="789"/>
      <c r="M284" s="800"/>
    </row>
    <row r="285" spans="1:13" s="16" customFormat="1" ht="16.899999999999999" customHeight="1">
      <c r="A285" s="380">
        <v>1</v>
      </c>
      <c r="B285" s="1301" t="s">
        <v>91</v>
      </c>
      <c r="C285" s="1302"/>
      <c r="D285" s="1302"/>
      <c r="E285" s="1302"/>
      <c r="F285" s="1303"/>
      <c r="G285" s="221"/>
      <c r="H285" s="222"/>
      <c r="I285" s="648"/>
      <c r="J285" s="702">
        <f>ROUND(SUM(J286:J290),2)</f>
        <v>10321.290000000001</v>
      </c>
      <c r="K285" s="692"/>
      <c r="L285" s="789"/>
      <c r="M285" s="800"/>
    </row>
    <row r="286" spans="1:13" s="154" customFormat="1" ht="34.9" customHeight="1">
      <c r="A286" s="969" t="s">
        <v>37</v>
      </c>
      <c r="B286" s="1703" t="s">
        <v>85</v>
      </c>
      <c r="C286" s="1704"/>
      <c r="D286" s="1704"/>
      <c r="E286" s="1704"/>
      <c r="F286" s="1705"/>
      <c r="G286" s="986">
        <v>4.4400000000000004</v>
      </c>
      <c r="H286" s="977" t="s">
        <v>92</v>
      </c>
      <c r="I286" s="972">
        <v>43.56</v>
      </c>
      <c r="J286" s="994">
        <f>ROUND(G286*I286,2)</f>
        <v>193.41</v>
      </c>
      <c r="K286" s="974" t="s">
        <v>644</v>
      </c>
      <c r="L286" s="792"/>
      <c r="M286" s="868"/>
    </row>
    <row r="287" spans="1:13" s="154" customFormat="1" ht="34.9" customHeight="1">
      <c r="A287" s="969" t="s">
        <v>39</v>
      </c>
      <c r="B287" s="1703" t="s">
        <v>49</v>
      </c>
      <c r="C287" s="1704"/>
      <c r="D287" s="1704"/>
      <c r="E287" s="1704"/>
      <c r="F287" s="1705"/>
      <c r="G287" s="986">
        <v>68</v>
      </c>
      <c r="H287" s="977" t="s">
        <v>52</v>
      </c>
      <c r="I287" s="972">
        <v>49.39</v>
      </c>
      <c r="J287" s="994">
        <f t="shared" ref="J287:J290" si="19">ROUND(G287*I287,2)</f>
        <v>3358.52</v>
      </c>
      <c r="K287" s="974" t="s">
        <v>645</v>
      </c>
      <c r="L287" s="792"/>
      <c r="M287" s="868"/>
    </row>
    <row r="288" spans="1:13" s="154" customFormat="1" ht="34.9" customHeight="1">
      <c r="A288" s="969" t="s">
        <v>345</v>
      </c>
      <c r="B288" s="1703" t="s">
        <v>87</v>
      </c>
      <c r="C288" s="1704"/>
      <c r="D288" s="1704"/>
      <c r="E288" s="1704"/>
      <c r="F288" s="1705"/>
      <c r="G288" s="986">
        <v>399.6</v>
      </c>
      <c r="H288" s="977" t="s">
        <v>50</v>
      </c>
      <c r="I288" s="972">
        <v>11.67</v>
      </c>
      <c r="J288" s="994">
        <f t="shared" si="19"/>
        <v>4663.33</v>
      </c>
      <c r="K288" s="974" t="s">
        <v>646</v>
      </c>
      <c r="L288" s="792"/>
      <c r="M288" s="868"/>
    </row>
    <row r="289" spans="1:13" s="154" customFormat="1" ht="34.9" customHeight="1">
      <c r="A289" s="969" t="s">
        <v>347</v>
      </c>
      <c r="B289" s="1703" t="s">
        <v>89</v>
      </c>
      <c r="C289" s="1704"/>
      <c r="D289" s="1704"/>
      <c r="E289" s="1704"/>
      <c r="F289" s="1705"/>
      <c r="G289" s="986">
        <v>4.4400000000000004</v>
      </c>
      <c r="H289" s="977" t="s">
        <v>92</v>
      </c>
      <c r="I289" s="972">
        <v>351.93</v>
      </c>
      <c r="J289" s="994">
        <f t="shared" si="19"/>
        <v>1562.57</v>
      </c>
      <c r="K289" s="974" t="s">
        <v>647</v>
      </c>
      <c r="L289" s="792"/>
      <c r="M289" s="868"/>
    </row>
    <row r="290" spans="1:13" s="154" customFormat="1" ht="34.9" customHeight="1">
      <c r="A290" s="969" t="s">
        <v>349</v>
      </c>
      <c r="B290" s="1703" t="s">
        <v>90</v>
      </c>
      <c r="C290" s="1704"/>
      <c r="D290" s="1704"/>
      <c r="E290" s="1704"/>
      <c r="F290" s="1705"/>
      <c r="G290" s="986">
        <v>4.4400000000000004</v>
      </c>
      <c r="H290" s="977" t="s">
        <v>92</v>
      </c>
      <c r="I290" s="972">
        <v>122.4</v>
      </c>
      <c r="J290" s="994">
        <f t="shared" si="19"/>
        <v>543.46</v>
      </c>
      <c r="K290" s="974" t="s">
        <v>648</v>
      </c>
      <c r="L290" s="792"/>
      <c r="M290" s="868"/>
    </row>
    <row r="291" spans="1:13" s="16" customFormat="1" ht="19.149999999999999" customHeight="1">
      <c r="A291" s="397"/>
      <c r="B291" s="885"/>
      <c r="C291" s="880"/>
      <c r="D291" s="880"/>
      <c r="E291" s="880"/>
      <c r="F291" s="881"/>
      <c r="G291" s="201"/>
      <c r="H291" s="186"/>
      <c r="I291" s="649"/>
      <c r="J291" s="670"/>
      <c r="K291" s="690"/>
      <c r="L291" s="789"/>
      <c r="M291" s="800"/>
    </row>
    <row r="292" spans="1:13" s="16" customFormat="1" ht="13.9" customHeight="1">
      <c r="A292" s="380">
        <v>2</v>
      </c>
      <c r="B292" s="1301" t="s">
        <v>351</v>
      </c>
      <c r="C292" s="1302"/>
      <c r="D292" s="1302"/>
      <c r="E292" s="1302"/>
      <c r="F292" s="1303"/>
      <c r="G292" s="221"/>
      <c r="H292" s="222"/>
      <c r="I292" s="648"/>
      <c r="J292" s="702">
        <f>ROUND(SUM(J293:J298),2)</f>
        <v>17883.349999999999</v>
      </c>
      <c r="K292" s="692"/>
      <c r="L292" s="789"/>
      <c r="M292" s="800"/>
    </row>
    <row r="293" spans="1:13" s="154" customFormat="1" ht="30.6" customHeight="1">
      <c r="A293" s="985" t="s">
        <v>84</v>
      </c>
      <c r="B293" s="1703" t="s">
        <v>352</v>
      </c>
      <c r="C293" s="1704"/>
      <c r="D293" s="1704"/>
      <c r="E293" s="1704"/>
      <c r="F293" s="1705"/>
      <c r="G293" s="986">
        <v>0.45</v>
      </c>
      <c r="H293" s="995" t="s">
        <v>92</v>
      </c>
      <c r="I293" s="972">
        <v>58.08</v>
      </c>
      <c r="J293" s="989">
        <f>ROUND(G293*I293,2)</f>
        <v>26.14</v>
      </c>
      <c r="K293" s="974" t="s">
        <v>649</v>
      </c>
      <c r="L293" s="792"/>
      <c r="M293" s="868"/>
    </row>
    <row r="294" spans="1:13" s="154" customFormat="1" ht="30.6" customHeight="1">
      <c r="A294" s="985" t="s">
        <v>43</v>
      </c>
      <c r="B294" s="1703" t="s">
        <v>353</v>
      </c>
      <c r="C294" s="1704"/>
      <c r="D294" s="1704"/>
      <c r="E294" s="1704"/>
      <c r="F294" s="1705"/>
      <c r="G294" s="986">
        <v>142</v>
      </c>
      <c r="H294" s="995" t="s">
        <v>96</v>
      </c>
      <c r="I294" s="972">
        <v>52.9</v>
      </c>
      <c r="J294" s="989">
        <f t="shared" ref="J294:J298" si="20">ROUND(G294*I294,2)</f>
        <v>7511.8</v>
      </c>
      <c r="K294" s="974" t="s">
        <v>650</v>
      </c>
      <c r="L294" s="792"/>
      <c r="M294" s="868"/>
    </row>
    <row r="295" spans="1:13" s="154" customFormat="1" ht="30.6" customHeight="1">
      <c r="A295" s="985" t="s">
        <v>240</v>
      </c>
      <c r="B295" s="1703" t="s">
        <v>89</v>
      </c>
      <c r="C295" s="1704"/>
      <c r="D295" s="1704"/>
      <c r="E295" s="1704"/>
      <c r="F295" s="1705"/>
      <c r="G295" s="986">
        <v>1.53</v>
      </c>
      <c r="H295" s="995" t="s">
        <v>92</v>
      </c>
      <c r="I295" s="972">
        <v>351.93</v>
      </c>
      <c r="J295" s="989">
        <f t="shared" si="20"/>
        <v>538.45000000000005</v>
      </c>
      <c r="K295" s="974" t="s">
        <v>647</v>
      </c>
      <c r="L295" s="792"/>
      <c r="M295" s="868"/>
    </row>
    <row r="296" spans="1:13" s="154" customFormat="1" ht="30.6" customHeight="1">
      <c r="A296" s="985" t="s">
        <v>45</v>
      </c>
      <c r="B296" s="1703" t="s">
        <v>354</v>
      </c>
      <c r="C296" s="1704"/>
      <c r="D296" s="1704"/>
      <c r="E296" s="1704"/>
      <c r="F296" s="1705"/>
      <c r="G296" s="986">
        <v>137.69999999999999</v>
      </c>
      <c r="H296" s="995" t="s">
        <v>50</v>
      </c>
      <c r="I296" s="972">
        <v>11.67</v>
      </c>
      <c r="J296" s="989">
        <f t="shared" si="20"/>
        <v>1606.96</v>
      </c>
      <c r="K296" s="974" t="s">
        <v>646</v>
      </c>
      <c r="L296" s="792"/>
      <c r="M296" s="868"/>
    </row>
    <row r="297" spans="1:13" s="154" customFormat="1" ht="30.6" customHeight="1">
      <c r="A297" s="985" t="s">
        <v>47</v>
      </c>
      <c r="B297" s="1703" t="s">
        <v>321</v>
      </c>
      <c r="C297" s="1704"/>
      <c r="D297" s="1704"/>
      <c r="E297" s="1704"/>
      <c r="F297" s="1705"/>
      <c r="G297" s="986">
        <v>1.53</v>
      </c>
      <c r="H297" s="995" t="s">
        <v>92</v>
      </c>
      <c r="I297" s="972">
        <v>84.54</v>
      </c>
      <c r="J297" s="989">
        <f t="shared" si="20"/>
        <v>129.35</v>
      </c>
      <c r="K297" s="974" t="s">
        <v>651</v>
      </c>
      <c r="L297" s="792"/>
      <c r="M297" s="868"/>
    </row>
    <row r="298" spans="1:13" s="154" customFormat="1" ht="30.6" customHeight="1">
      <c r="A298" s="985" t="s">
        <v>48</v>
      </c>
      <c r="B298" s="1703" t="s">
        <v>323</v>
      </c>
      <c r="C298" s="1704"/>
      <c r="D298" s="1704"/>
      <c r="E298" s="1704"/>
      <c r="F298" s="1705"/>
      <c r="G298" s="986">
        <v>40.799999999999997</v>
      </c>
      <c r="H298" s="995" t="s">
        <v>96</v>
      </c>
      <c r="I298" s="972">
        <v>197.81</v>
      </c>
      <c r="J298" s="989">
        <f t="shared" si="20"/>
        <v>8070.65</v>
      </c>
      <c r="K298" s="974" t="s">
        <v>652</v>
      </c>
      <c r="L298" s="792"/>
      <c r="M298" s="868"/>
    </row>
    <row r="299" spans="1:13" s="16" customFormat="1" ht="18" customHeight="1">
      <c r="A299" s="551"/>
      <c r="B299" s="543"/>
      <c r="C299" s="916"/>
      <c r="D299" s="916"/>
      <c r="E299" s="916"/>
      <c r="F299" s="917"/>
      <c r="G299" s="201"/>
      <c r="H299" s="202"/>
      <c r="I299" s="650"/>
      <c r="J299" s="703"/>
      <c r="K299" s="690"/>
      <c r="L299" s="789"/>
      <c r="M299" s="800"/>
    </row>
    <row r="300" spans="1:13" s="16" customFormat="1" ht="16.149999999999999" customHeight="1">
      <c r="A300" s="439">
        <v>3</v>
      </c>
      <c r="B300" s="1301" t="s">
        <v>208</v>
      </c>
      <c r="C300" s="1302"/>
      <c r="D300" s="1302"/>
      <c r="E300" s="1302"/>
      <c r="F300" s="1303"/>
      <c r="G300" s="221"/>
      <c r="H300" s="222"/>
      <c r="I300" s="651"/>
      <c r="J300" s="704">
        <f>ROUND(SUM(J301:J302),2)</f>
        <v>6341.72</v>
      </c>
      <c r="K300" s="692"/>
      <c r="L300" s="789"/>
      <c r="M300" s="800"/>
    </row>
    <row r="301" spans="1:13" s="154" customFormat="1" ht="26.45" customHeight="1">
      <c r="A301" s="985" t="s">
        <v>54</v>
      </c>
      <c r="B301" s="996" t="s">
        <v>65</v>
      </c>
      <c r="C301" s="997"/>
      <c r="D301" s="997"/>
      <c r="E301" s="997"/>
      <c r="F301" s="998"/>
      <c r="G301" s="986">
        <v>284</v>
      </c>
      <c r="H301" s="977" t="s">
        <v>96</v>
      </c>
      <c r="I301" s="972">
        <v>5.42</v>
      </c>
      <c r="J301" s="989">
        <f>ROUND(G301*I301,2)</f>
        <v>1539.28</v>
      </c>
      <c r="K301" s="974" t="s">
        <v>653</v>
      </c>
      <c r="L301" s="792"/>
      <c r="M301" s="868"/>
    </row>
    <row r="302" spans="1:13" s="154" customFormat="1" ht="30" customHeight="1" thickBot="1">
      <c r="A302" s="999" t="s">
        <v>95</v>
      </c>
      <c r="B302" s="1000" t="s">
        <v>66</v>
      </c>
      <c r="C302" s="1001"/>
      <c r="D302" s="1001"/>
      <c r="E302" s="1001"/>
      <c r="F302" s="1002"/>
      <c r="G302" s="1003">
        <v>284</v>
      </c>
      <c r="H302" s="1004" t="s">
        <v>96</v>
      </c>
      <c r="I302" s="1005">
        <v>16.91</v>
      </c>
      <c r="J302" s="1006">
        <f>ROUND(G302*I302,2)</f>
        <v>4802.4399999999996</v>
      </c>
      <c r="K302" s="974" t="s">
        <v>654</v>
      </c>
      <c r="L302" s="792"/>
      <c r="M302" s="868"/>
    </row>
    <row r="303" spans="1:13" s="16" customFormat="1" ht="13.9" customHeight="1" thickTop="1">
      <c r="A303" s="555"/>
      <c r="B303" s="596"/>
      <c r="C303" s="556"/>
      <c r="D303" s="556"/>
      <c r="E303" s="556"/>
      <c r="F303" s="556"/>
      <c r="G303" s="557"/>
      <c r="H303" s="555"/>
      <c r="I303" s="628"/>
      <c r="J303" s="558"/>
      <c r="K303" s="584"/>
      <c r="L303" s="789"/>
    </row>
    <row r="304" spans="1:13" s="16" customFormat="1" ht="13.9" customHeight="1" thickBot="1">
      <c r="A304" s="559"/>
      <c r="B304" s="597"/>
      <c r="C304" s="560"/>
      <c r="D304" s="560"/>
      <c r="E304" s="560"/>
      <c r="F304" s="560"/>
      <c r="G304" s="561"/>
      <c r="H304" s="559"/>
      <c r="I304" s="644"/>
      <c r="J304" s="562"/>
      <c r="K304" s="584"/>
      <c r="L304" s="789"/>
    </row>
    <row r="305" spans="1:14" s="16" customFormat="1" ht="16.899999999999999" customHeight="1" thickTop="1">
      <c r="A305" s="439">
        <v>4</v>
      </c>
      <c r="B305" s="1301" t="s">
        <v>350</v>
      </c>
      <c r="C305" s="1302"/>
      <c r="D305" s="1302"/>
      <c r="E305" s="1302"/>
      <c r="F305" s="1303"/>
      <c r="G305" s="221"/>
      <c r="H305" s="222"/>
      <c r="I305" s="651"/>
      <c r="J305" s="704">
        <f>J306</f>
        <v>6838.72</v>
      </c>
      <c r="K305" s="692"/>
      <c r="L305" s="789"/>
    </row>
    <row r="306" spans="1:14" s="154" customFormat="1" ht="25.9" customHeight="1">
      <c r="A306" s="985" t="s">
        <v>58</v>
      </c>
      <c r="B306" s="996" t="s">
        <v>193</v>
      </c>
      <c r="C306" s="997"/>
      <c r="D306" s="997"/>
      <c r="E306" s="997"/>
      <c r="F306" s="998"/>
      <c r="G306" s="986">
        <v>284</v>
      </c>
      <c r="H306" s="977" t="s">
        <v>96</v>
      </c>
      <c r="I306" s="972">
        <v>24.08</v>
      </c>
      <c r="J306" s="989">
        <f>ROUND(G306*I306,2)</f>
        <v>6838.72</v>
      </c>
      <c r="K306" s="974" t="s">
        <v>634</v>
      </c>
      <c r="L306" s="792"/>
    </row>
    <row r="307" spans="1:14" s="16" customFormat="1" ht="12.4" customHeight="1">
      <c r="A307" s="397"/>
      <c r="B307" s="885"/>
      <c r="C307" s="880"/>
      <c r="D307" s="880"/>
      <c r="E307" s="880"/>
      <c r="F307" s="881"/>
      <c r="G307" s="201"/>
      <c r="H307" s="186"/>
      <c r="I307" s="649"/>
      <c r="J307" s="670"/>
      <c r="K307" s="690"/>
      <c r="L307" s="789"/>
    </row>
    <row r="308" spans="1:14" s="858" customFormat="1" ht="12.4" customHeight="1">
      <c r="A308" s="905"/>
      <c r="B308" s="882"/>
      <c r="C308" s="882"/>
      <c r="D308" s="882"/>
      <c r="E308" s="882"/>
      <c r="F308" s="882"/>
      <c r="G308" s="893"/>
      <c r="H308" s="878" t="s">
        <v>286</v>
      </c>
      <c r="I308" s="856"/>
      <c r="J308" s="666">
        <f>SUM(J285+J292+J300+J305)</f>
        <v>41385.08</v>
      </c>
      <c r="K308" s="687"/>
      <c r="L308" s="857"/>
    </row>
    <row r="309" spans="1:14" s="16" customFormat="1" ht="12.4" customHeight="1">
      <c r="A309" s="397"/>
      <c r="B309" s="885"/>
      <c r="C309" s="880"/>
      <c r="D309" s="880"/>
      <c r="E309" s="880"/>
      <c r="F309" s="881"/>
      <c r="G309" s="201"/>
      <c r="H309" s="186"/>
      <c r="I309" s="649"/>
      <c r="J309" s="670"/>
      <c r="K309" s="690"/>
      <c r="L309" s="789"/>
    </row>
    <row r="310" spans="1:14" s="16" customFormat="1" ht="15" customHeight="1">
      <c r="A310" s="1548" t="s">
        <v>21</v>
      </c>
      <c r="B310" s="1549"/>
      <c r="C310" s="1550"/>
      <c r="D310" s="1550"/>
      <c r="E310" s="1550"/>
      <c r="F310" s="1550"/>
      <c r="G310" s="1550"/>
      <c r="H310" s="1550"/>
      <c r="I310" s="652" t="s">
        <v>22</v>
      </c>
      <c r="J310" s="705">
        <f>ROUND(SUM(J184+J281+J308),2)+L281</f>
        <v>348182.36</v>
      </c>
      <c r="K310" s="707"/>
      <c r="L310" s="789"/>
      <c r="M310" s="171"/>
      <c r="N310" s="800"/>
    </row>
    <row r="311" spans="1:14" s="16" customFormat="1" ht="16.899999999999999" customHeight="1">
      <c r="A311" s="1548" t="s">
        <v>538</v>
      </c>
      <c r="B311" s="1549"/>
      <c r="C311" s="1550"/>
      <c r="D311" s="1550"/>
      <c r="E311" s="1550"/>
      <c r="F311" s="1550"/>
      <c r="G311" s="1550"/>
      <c r="H311" s="1550"/>
      <c r="I311" s="653"/>
      <c r="J311" s="706">
        <f>J310-L281</f>
        <v>166647.94</v>
      </c>
      <c r="K311" s="708"/>
      <c r="L311" s="789"/>
    </row>
    <row r="312" spans="1:14" s="16" customFormat="1" ht="16.899999999999999" customHeight="1">
      <c r="A312" s="1548" t="s">
        <v>539</v>
      </c>
      <c r="B312" s="1550"/>
      <c r="C312" s="1550"/>
      <c r="D312" s="1550"/>
      <c r="E312" s="1550"/>
      <c r="F312" s="1550"/>
      <c r="G312" s="1550"/>
      <c r="H312" s="1550"/>
      <c r="I312" s="653"/>
      <c r="J312" s="706">
        <f>L281</f>
        <v>181534.41999999998</v>
      </c>
      <c r="K312" s="864"/>
      <c r="L312" s="789"/>
    </row>
    <row r="313" spans="1:14" s="16" customFormat="1" ht="16.899999999999999" customHeight="1">
      <c r="A313" s="1526" t="s">
        <v>540</v>
      </c>
      <c r="B313" s="1317"/>
      <c r="C313" s="1317"/>
      <c r="D313" s="1317"/>
      <c r="E313" s="1317"/>
      <c r="F313" s="1317"/>
      <c r="G313" s="1317"/>
      <c r="H313" s="1318"/>
      <c r="I313" s="1641">
        <f>J311*K313</f>
        <v>65182.745043277144</v>
      </c>
      <c r="J313" s="1641"/>
      <c r="K313" s="740">
        <v>0.39114041879711892</v>
      </c>
      <c r="L313" s="789"/>
    </row>
    <row r="314" spans="1:14" s="16" customFormat="1" ht="15.6" customHeight="1">
      <c r="A314" s="1548" t="s">
        <v>25</v>
      </c>
      <c r="B314" s="1550"/>
      <c r="C314" s="1550"/>
      <c r="D314" s="1550"/>
      <c r="E314" s="1550"/>
      <c r="F314" s="1550"/>
      <c r="G314" s="1550"/>
      <c r="H314" s="1550"/>
      <c r="I314" s="653" t="s">
        <v>26</v>
      </c>
      <c r="J314" s="738">
        <f>J311*K314</f>
        <v>9113.0746574759796</v>
      </c>
      <c r="K314" s="740">
        <v>5.4684592305647338E-2</v>
      </c>
      <c r="L314" s="789"/>
      <c r="N314" s="800"/>
    </row>
    <row r="315" spans="1:14" s="16" customFormat="1" ht="15.6" customHeight="1">
      <c r="A315" s="1526" t="s">
        <v>434</v>
      </c>
      <c r="B315" s="1317"/>
      <c r="C315" s="1317"/>
      <c r="D315" s="1317"/>
      <c r="E315" s="1317"/>
      <c r="F315" s="1317"/>
      <c r="G315" s="1317"/>
      <c r="H315" s="1318"/>
      <c r="I315" s="653"/>
      <c r="J315" s="739">
        <f>J311*K315</f>
        <v>92352.12029924689</v>
      </c>
      <c r="K315" s="740">
        <v>0.55417498889723382</v>
      </c>
      <c r="L315" s="789" t="s">
        <v>524</v>
      </c>
    </row>
    <row r="316" spans="1:14" s="16" customFormat="1" ht="31.9" customHeight="1" thickBot="1">
      <c r="A316" s="1458" t="s">
        <v>435</v>
      </c>
      <c r="B316" s="1459"/>
      <c r="C316" s="1459"/>
      <c r="D316" s="1634" t="s">
        <v>431</v>
      </c>
      <c r="E316" s="1635"/>
      <c r="F316" s="1635"/>
      <c r="G316" s="1635"/>
      <c r="H316" s="1635"/>
      <c r="I316" s="1635"/>
      <c r="J316" s="1635"/>
      <c r="K316" s="737">
        <f>I313+J314+J315</f>
        <v>166647.94</v>
      </c>
      <c r="L316" s="792"/>
    </row>
    <row r="317" spans="1:14" s="16" customFormat="1" ht="14.45" customHeight="1" thickTop="1" thickBot="1">
      <c r="A317" s="489"/>
      <c r="B317" s="489"/>
      <c r="C317" s="489"/>
      <c r="D317" s="489"/>
      <c r="E317" s="489"/>
      <c r="F317" s="489"/>
      <c r="G317" s="490"/>
      <c r="H317" s="347"/>
      <c r="I317" s="627"/>
      <c r="J317" s="346"/>
      <c r="K317" s="605"/>
      <c r="L317" s="789"/>
      <c r="N317" s="859">
        <f>J310+J311</f>
        <v>514830.3</v>
      </c>
    </row>
    <row r="318" spans="1:14" s="16" customFormat="1" ht="16.899999999999999" customHeight="1" thickTop="1">
      <c r="A318" s="1636" t="s">
        <v>29</v>
      </c>
      <c r="B318" s="1637"/>
      <c r="C318" s="1637"/>
      <c r="D318" s="1637"/>
      <c r="E318" s="1637"/>
      <c r="F318" s="1637"/>
      <c r="G318" s="1637"/>
      <c r="H318" s="1637"/>
      <c r="I318" s="1637"/>
      <c r="J318" s="1638"/>
      <c r="K318" s="681"/>
      <c r="L318" s="789"/>
    </row>
    <row r="319" spans="1:14" s="16" customFormat="1" ht="16.149999999999999" customHeight="1">
      <c r="A319" s="1528" t="s">
        <v>515</v>
      </c>
      <c r="B319" s="1294"/>
      <c r="C319" s="1294"/>
      <c r="D319" s="1294"/>
      <c r="E319" s="1294"/>
      <c r="F319" s="1294"/>
      <c r="G319" s="1294"/>
      <c r="H319" s="1294"/>
      <c r="I319" s="1294"/>
      <c r="J319" s="1289"/>
      <c r="K319" s="714"/>
      <c r="L319" s="789"/>
    </row>
    <row r="320" spans="1:14" s="16" customFormat="1" ht="13.5" customHeight="1">
      <c r="A320" s="1476" t="s">
        <v>204</v>
      </c>
      <c r="B320" s="1534" t="s">
        <v>203</v>
      </c>
      <c r="C320" s="1535"/>
      <c r="D320" s="1535"/>
      <c r="E320" s="1535"/>
      <c r="F320" s="1532" t="s">
        <v>202</v>
      </c>
      <c r="G320" s="1639" t="s">
        <v>198</v>
      </c>
      <c r="H320" s="1640"/>
      <c r="I320" s="109"/>
      <c r="J320" s="1639" t="s">
        <v>199</v>
      </c>
      <c r="K320" s="684"/>
      <c r="L320" s="789"/>
    </row>
    <row r="321" spans="1:15" s="17" customFormat="1" ht="39.6" customHeight="1">
      <c r="A321" s="1477"/>
      <c r="B321" s="1537"/>
      <c r="C321" s="1538"/>
      <c r="D321" s="1538"/>
      <c r="E321" s="1538"/>
      <c r="F321" s="1533"/>
      <c r="G321" s="248" t="s">
        <v>200</v>
      </c>
      <c r="H321" s="521" t="s">
        <v>201</v>
      </c>
      <c r="I321" s="654" t="s">
        <v>436</v>
      </c>
      <c r="J321" s="1639"/>
      <c r="K321" s="684"/>
      <c r="L321" s="789"/>
      <c r="N321" s="16"/>
    </row>
    <row r="322" spans="1:15" s="17" customFormat="1" ht="13.9" customHeight="1">
      <c r="A322" s="1526" t="s">
        <v>205</v>
      </c>
      <c r="B322" s="1317"/>
      <c r="C322" s="1317"/>
      <c r="D322" s="1317"/>
      <c r="E322" s="1317"/>
      <c r="F322" s="1317"/>
      <c r="G322" s="1317"/>
      <c r="H322" s="1317"/>
      <c r="I322" s="1317"/>
      <c r="J322" s="1317"/>
      <c r="K322" s="684"/>
      <c r="L322" s="796" t="s">
        <v>314</v>
      </c>
    </row>
    <row r="323" spans="1:15" s="17" customFormat="1" ht="25.15" customHeight="1">
      <c r="A323" s="468">
        <v>1</v>
      </c>
      <c r="B323" s="1444" t="s">
        <v>36</v>
      </c>
      <c r="C323" s="1445"/>
      <c r="D323" s="1445"/>
      <c r="E323" s="1445"/>
      <c r="F323" s="580"/>
      <c r="G323" s="268">
        <f>ROUND(N323*K313,2)+M323</f>
        <v>8573.130000000001</v>
      </c>
      <c r="H323" s="269">
        <f>ROUND(N323*$K$314,2)</f>
        <v>778.95</v>
      </c>
      <c r="I323" s="579">
        <f>N323*K315</f>
        <v>7893.8735865980907</v>
      </c>
      <c r="J323" s="709">
        <f>ROUND(SUM(G323:I323),2)</f>
        <v>17245.95</v>
      </c>
      <c r="K323" s="730" t="s">
        <v>541</v>
      </c>
      <c r="L323" s="796">
        <f>SUM(J144)</f>
        <v>17245.95</v>
      </c>
      <c r="M323" s="801">
        <f>L145</f>
        <v>3001.58</v>
      </c>
      <c r="N323" s="801">
        <f>L323-M323</f>
        <v>14244.37</v>
      </c>
    </row>
    <row r="324" spans="1:15" s="17" customFormat="1" ht="15" customHeight="1">
      <c r="A324" s="468">
        <v>2</v>
      </c>
      <c r="B324" s="1437" t="s">
        <v>42</v>
      </c>
      <c r="C324" s="1438"/>
      <c r="D324" s="1438"/>
      <c r="E324" s="1438"/>
      <c r="F324" s="581"/>
      <c r="G324" s="268">
        <f>L324-1.39</f>
        <v>59298.12</v>
      </c>
      <c r="H324" s="269">
        <v>0</v>
      </c>
      <c r="I324" s="579">
        <v>0</v>
      </c>
      <c r="J324" s="709">
        <f t="shared" ref="J324:J347" si="21">ROUND(SUM(G324:I324),2)</f>
        <v>59298.12</v>
      </c>
      <c r="K324" s="715"/>
      <c r="L324" s="796">
        <f>SUM(J151)</f>
        <v>59299.51</v>
      </c>
      <c r="M324" s="801"/>
    </row>
    <row r="325" spans="1:15" s="17" customFormat="1" ht="15" customHeight="1">
      <c r="A325" s="468">
        <v>3</v>
      </c>
      <c r="B325" s="1437" t="s">
        <v>53</v>
      </c>
      <c r="C325" s="1438"/>
      <c r="D325" s="1438"/>
      <c r="E325" s="1438"/>
      <c r="F325" s="581"/>
      <c r="G325" s="268">
        <f>J158</f>
        <v>3159.05</v>
      </c>
      <c r="H325" s="269">
        <v>0</v>
      </c>
      <c r="I325" s="579">
        <v>0</v>
      </c>
      <c r="J325" s="709">
        <f t="shared" si="21"/>
        <v>3159.05</v>
      </c>
      <c r="K325" s="715"/>
      <c r="L325" s="796">
        <f>SUM(J157)</f>
        <v>3159.05</v>
      </c>
      <c r="M325" s="801"/>
      <c r="O325" s="129"/>
    </row>
    <row r="326" spans="1:15" s="17" customFormat="1" ht="15" customHeight="1">
      <c r="A326" s="468">
        <v>4</v>
      </c>
      <c r="B326" s="1437" t="s">
        <v>206</v>
      </c>
      <c r="C326" s="1438"/>
      <c r="D326" s="1438"/>
      <c r="E326" s="1438"/>
      <c r="F326" s="581"/>
      <c r="G326" s="268">
        <f>ROUND(N326*K313,2)+M326</f>
        <v>45725.03</v>
      </c>
      <c r="H326" s="269">
        <f>ROUND(N326*$K$314,2)</f>
        <v>866.55</v>
      </c>
      <c r="I326" s="579">
        <f>N326*K315</f>
        <v>8781.6785440611275</v>
      </c>
      <c r="J326" s="709">
        <f t="shared" si="21"/>
        <v>55373.26</v>
      </c>
      <c r="K326" s="715"/>
      <c r="L326" s="796">
        <f>SUM(J160)</f>
        <v>55373.26</v>
      </c>
      <c r="M326" s="801">
        <f>SUM(J161:J165)</f>
        <v>39526.86</v>
      </c>
      <c r="N326" s="801">
        <f>L326-M326</f>
        <v>15846.400000000001</v>
      </c>
      <c r="O326" s="129"/>
    </row>
    <row r="327" spans="1:15" s="17" customFormat="1" ht="15" customHeight="1">
      <c r="A327" s="468">
        <v>5</v>
      </c>
      <c r="B327" s="1437" t="s">
        <v>78</v>
      </c>
      <c r="C327" s="1438"/>
      <c r="D327" s="1438"/>
      <c r="E327" s="1438"/>
      <c r="F327" s="581"/>
      <c r="G327" s="268">
        <f>N327*K313+M327</f>
        <v>61814.179957330482</v>
      </c>
      <c r="H327" s="269">
        <f>ROUND(N327*$K$314,2)-0.01</f>
        <v>2101.77</v>
      </c>
      <c r="I327" s="579">
        <f>N327*K315-0.06</f>
        <v>21299.468622770946</v>
      </c>
      <c r="J327" s="709">
        <f>ROUND(SUM(G327:I327),2)</f>
        <v>85215.42</v>
      </c>
      <c r="K327" s="715"/>
      <c r="L327" s="796">
        <f>SUM(J168)</f>
        <v>85215.492425230332</v>
      </c>
      <c r="M327" s="801">
        <f>SUM(L169:L177)</f>
        <v>46780.83</v>
      </c>
      <c r="N327" s="801">
        <f>L327-M327</f>
        <v>38434.66242523033</v>
      </c>
    </row>
    <row r="328" spans="1:15" s="17" customFormat="1" ht="15" customHeight="1">
      <c r="A328" s="468">
        <v>6</v>
      </c>
      <c r="B328" s="1437" t="s">
        <v>82</v>
      </c>
      <c r="C328" s="1438"/>
      <c r="D328" s="1438"/>
      <c r="E328" s="1438"/>
      <c r="F328" s="581"/>
      <c r="G328" s="268">
        <f>ROUND(L328*K313,2)</f>
        <v>3598.49</v>
      </c>
      <c r="H328" s="269">
        <f t="shared" ref="H328" si="22">ROUND(L328*$K$314,2)</f>
        <v>503.1</v>
      </c>
      <c r="I328" s="579">
        <f>L328*K315</f>
        <v>5098.4098978545508</v>
      </c>
      <c r="J328" s="709">
        <f t="shared" si="21"/>
        <v>9200</v>
      </c>
      <c r="K328" s="715"/>
      <c r="L328" s="796">
        <f>SUM(J181)</f>
        <v>9200</v>
      </c>
      <c r="M328" s="801"/>
    </row>
    <row r="329" spans="1:15" s="17" customFormat="1" ht="12" customHeight="1">
      <c r="A329" s="470"/>
      <c r="B329" s="892"/>
      <c r="C329" s="892"/>
      <c r="D329" s="892"/>
      <c r="E329" s="892"/>
      <c r="F329" s="892"/>
      <c r="G329" s="268"/>
      <c r="H329" s="269"/>
      <c r="I329" s="579"/>
      <c r="J329" s="709"/>
      <c r="K329" s="715"/>
      <c r="L329" s="789"/>
    </row>
    <row r="330" spans="1:15" s="17" customFormat="1" ht="13.9" customHeight="1">
      <c r="A330" s="586" t="s">
        <v>210</v>
      </c>
      <c r="B330" s="587"/>
      <c r="C330" s="587"/>
      <c r="D330" s="587"/>
      <c r="E330" s="587"/>
      <c r="F330" s="587"/>
      <c r="G330" s="622"/>
      <c r="H330" s="623"/>
      <c r="I330" s="624"/>
      <c r="J330" s="710"/>
      <c r="K330" s="715"/>
      <c r="L330" s="789"/>
    </row>
    <row r="331" spans="1:15" s="17" customFormat="1" ht="15" customHeight="1">
      <c r="A331" s="472">
        <v>1</v>
      </c>
      <c r="B331" s="1444" t="s">
        <v>36</v>
      </c>
      <c r="C331" s="1445"/>
      <c r="D331" s="1445"/>
      <c r="E331" s="1445"/>
      <c r="F331" s="580"/>
      <c r="G331" s="268">
        <f>J188</f>
        <v>186.32</v>
      </c>
      <c r="H331" s="269">
        <v>0</v>
      </c>
      <c r="I331" s="579">
        <v>0</v>
      </c>
      <c r="J331" s="709">
        <f>ROUND(SUM(G331:I331),2)</f>
        <v>186.32</v>
      </c>
      <c r="K331" s="715"/>
      <c r="L331" s="796">
        <f>SUM(J187)</f>
        <v>186.32</v>
      </c>
      <c r="M331" s="801"/>
    </row>
    <row r="332" spans="1:15" s="17" customFormat="1" ht="15" customHeight="1">
      <c r="A332" s="472">
        <v>2</v>
      </c>
      <c r="B332" s="1437" t="s">
        <v>42</v>
      </c>
      <c r="C332" s="1438"/>
      <c r="D332" s="1438"/>
      <c r="E332" s="1438"/>
      <c r="F332" s="581"/>
      <c r="G332" s="268">
        <f>SUM(J191:J196)</f>
        <v>2360.84</v>
      </c>
      <c r="H332" s="269">
        <v>0</v>
      </c>
      <c r="I332" s="579">
        <v>0</v>
      </c>
      <c r="J332" s="709">
        <f t="shared" si="21"/>
        <v>2360.84</v>
      </c>
      <c r="K332" s="715"/>
      <c r="L332" s="796">
        <f>SUM(J190)</f>
        <v>2360.84</v>
      </c>
      <c r="M332" s="801"/>
    </row>
    <row r="333" spans="1:15" s="17" customFormat="1" ht="15" customHeight="1">
      <c r="A333" s="472">
        <v>3</v>
      </c>
      <c r="B333" s="1437" t="s">
        <v>207</v>
      </c>
      <c r="C333" s="1438"/>
      <c r="D333" s="1438"/>
      <c r="E333" s="1438"/>
      <c r="F333" s="581"/>
      <c r="G333" s="268">
        <f>N333*K313+M333</f>
        <v>3334.9387928576466</v>
      </c>
      <c r="H333" s="269">
        <f>ROUND(N333*$K$314,2)</f>
        <v>386.93</v>
      </c>
      <c r="I333" s="579">
        <f>N333*K315</f>
        <v>3921.1427184408235</v>
      </c>
      <c r="J333" s="709">
        <f t="shared" si="21"/>
        <v>7643.01</v>
      </c>
      <c r="K333" s="715"/>
      <c r="L333" s="796">
        <f>SUM(J199)</f>
        <v>7643.01</v>
      </c>
      <c r="M333" s="801">
        <f>SUM(L200:L202)</f>
        <v>567.37</v>
      </c>
      <c r="N333" s="801">
        <f>L333-M333</f>
        <v>7075.64</v>
      </c>
    </row>
    <row r="334" spans="1:15" s="17" customFormat="1" ht="15" customHeight="1">
      <c r="A334" s="472">
        <v>4</v>
      </c>
      <c r="B334" s="1444" t="s">
        <v>98</v>
      </c>
      <c r="C334" s="1445"/>
      <c r="D334" s="1445"/>
      <c r="E334" s="1445"/>
      <c r="F334" s="580"/>
      <c r="G334" s="268">
        <f>SUM(J207:J209)</f>
        <v>6543.24</v>
      </c>
      <c r="H334" s="269">
        <v>0</v>
      </c>
      <c r="I334" s="579">
        <v>0</v>
      </c>
      <c r="J334" s="709">
        <f t="shared" si="21"/>
        <v>6543.24</v>
      </c>
      <c r="K334" s="715"/>
      <c r="L334" s="796">
        <f>SUM(J206)</f>
        <v>6543.24</v>
      </c>
      <c r="M334" s="801"/>
    </row>
    <row r="335" spans="1:15" s="17" customFormat="1" ht="15" customHeight="1">
      <c r="A335" s="472">
        <v>5</v>
      </c>
      <c r="B335" s="1437" t="s">
        <v>100</v>
      </c>
      <c r="C335" s="1438"/>
      <c r="D335" s="1438"/>
      <c r="E335" s="1438"/>
      <c r="F335" s="581"/>
      <c r="G335" s="268">
        <f>J212</f>
        <v>2012.28</v>
      </c>
      <c r="H335" s="269">
        <v>0</v>
      </c>
      <c r="I335" s="579">
        <v>0</v>
      </c>
      <c r="J335" s="709">
        <f t="shared" si="21"/>
        <v>2012.28</v>
      </c>
      <c r="K335" s="715"/>
      <c r="L335" s="796">
        <f>SUM(J211)</f>
        <v>2012.28</v>
      </c>
      <c r="M335" s="801"/>
    </row>
    <row r="336" spans="1:15" s="17" customFormat="1" ht="15" customHeight="1">
      <c r="A336" s="472">
        <v>6</v>
      </c>
      <c r="B336" s="1437" t="s">
        <v>102</v>
      </c>
      <c r="C336" s="1438"/>
      <c r="D336" s="1438"/>
      <c r="E336" s="1438"/>
      <c r="F336" s="581"/>
      <c r="G336" s="268">
        <f>SUM(J215:J217)</f>
        <v>4477.58</v>
      </c>
      <c r="H336" s="269">
        <v>0</v>
      </c>
      <c r="I336" s="579">
        <v>0</v>
      </c>
      <c r="J336" s="709">
        <f t="shared" si="21"/>
        <v>4477.58</v>
      </c>
      <c r="K336" s="715"/>
      <c r="L336" s="796">
        <f>SUM(J214)</f>
        <v>4477.58</v>
      </c>
      <c r="M336" s="801"/>
    </row>
    <row r="337" spans="1:16" s="17" customFormat="1" ht="15" customHeight="1">
      <c r="A337" s="472">
        <v>7</v>
      </c>
      <c r="B337" s="1437" t="s">
        <v>208</v>
      </c>
      <c r="C337" s="1438"/>
      <c r="D337" s="1438"/>
      <c r="E337" s="1438"/>
      <c r="F337" s="581"/>
      <c r="G337" s="268">
        <f>SUM(J220:J224)</f>
        <v>5231.8900000000003</v>
      </c>
      <c r="H337" s="269">
        <v>0</v>
      </c>
      <c r="I337" s="579">
        <v>0</v>
      </c>
      <c r="J337" s="709">
        <f t="shared" si="21"/>
        <v>5231.8900000000003</v>
      </c>
      <c r="K337" s="715"/>
      <c r="L337" s="796">
        <f>SUM(J219)</f>
        <v>5231.8900000000003</v>
      </c>
      <c r="M337" s="801"/>
    </row>
    <row r="338" spans="1:16" s="17" customFormat="1" ht="15" customHeight="1">
      <c r="A338" s="472">
        <v>8</v>
      </c>
      <c r="B338" s="1437" t="s">
        <v>116</v>
      </c>
      <c r="C338" s="1438"/>
      <c r="D338" s="1438"/>
      <c r="E338" s="1438"/>
      <c r="F338" s="581"/>
      <c r="G338" s="268">
        <f>N338*K313+M338</f>
        <v>4231.1224784242049</v>
      </c>
      <c r="H338" s="269">
        <f>ROUND(N338*$K$314,2)</f>
        <v>420.51</v>
      </c>
      <c r="I338" s="579">
        <f>N338*K315</f>
        <v>4261.4394121230589</v>
      </c>
      <c r="J338" s="709">
        <f t="shared" si="21"/>
        <v>8913.07</v>
      </c>
      <c r="K338" s="715"/>
      <c r="L338" s="796">
        <f>SUM(J226)</f>
        <v>8913.07</v>
      </c>
      <c r="M338" s="801">
        <f>SUM(L227:L232)</f>
        <v>1223.3699999999999</v>
      </c>
      <c r="N338" s="801">
        <f>L338-M338</f>
        <v>7689.7</v>
      </c>
    </row>
    <row r="339" spans="1:16" s="17" customFormat="1" ht="15" customHeight="1">
      <c r="A339" s="472">
        <v>9</v>
      </c>
      <c r="B339" s="1437" t="s">
        <v>209</v>
      </c>
      <c r="C339" s="1438"/>
      <c r="D339" s="1438"/>
      <c r="E339" s="1438"/>
      <c r="F339" s="581"/>
      <c r="G339" s="268">
        <f>N339*K313+M339</f>
        <v>7770.5871448986563</v>
      </c>
      <c r="H339" s="269">
        <f>ROUND(N339*$K$314,2)</f>
        <v>521.35</v>
      </c>
      <c r="I339" s="579">
        <f>N339*K315</f>
        <v>5283.3547168992245</v>
      </c>
      <c r="J339" s="709">
        <f t="shared" si="21"/>
        <v>13575.29</v>
      </c>
      <c r="K339" s="715"/>
      <c r="L339" s="796">
        <f>SUM(J243)</f>
        <v>13575.289999999999</v>
      </c>
      <c r="M339" s="801">
        <f>SUM(L244:L256)</f>
        <v>4041.5600000000004</v>
      </c>
      <c r="N339" s="801">
        <f>L339-M339</f>
        <v>9533.73</v>
      </c>
    </row>
    <row r="340" spans="1:16" s="17" customFormat="1" ht="15" customHeight="1">
      <c r="A340" s="472">
        <v>10</v>
      </c>
      <c r="B340" s="1437" t="s">
        <v>190</v>
      </c>
      <c r="C340" s="1438"/>
      <c r="D340" s="1438"/>
      <c r="E340" s="1438"/>
      <c r="F340" s="581"/>
      <c r="G340" s="268">
        <f t="shared" ref="G340" si="23">ROUND(L340*$K$313,2)</f>
        <v>1123.95</v>
      </c>
      <c r="H340" s="269">
        <f t="shared" ref="H340" si="24">ROUND(L340*$K$314,2)</f>
        <v>157.13999999999999</v>
      </c>
      <c r="I340" s="579">
        <f>L340*K315</f>
        <v>1592.4384558458685</v>
      </c>
      <c r="J340" s="709">
        <f t="shared" si="21"/>
        <v>2873.53</v>
      </c>
      <c r="K340" s="715"/>
      <c r="L340" s="796">
        <f>SUM(J266)</f>
        <v>2873.53</v>
      </c>
      <c r="M340" s="801"/>
    </row>
    <row r="341" spans="1:16" s="17" customFormat="1" ht="15" customHeight="1">
      <c r="A341" s="472">
        <v>11</v>
      </c>
      <c r="B341" s="1437" t="s">
        <v>195</v>
      </c>
      <c r="C341" s="1438"/>
      <c r="D341" s="1438"/>
      <c r="E341" s="1438"/>
      <c r="F341" s="581"/>
      <c r="G341" s="268">
        <f>ROUND(N341*$K$313,2)+M341</f>
        <v>11088.94</v>
      </c>
      <c r="H341" s="269">
        <f>ROUND(N341*$K$314,2)</f>
        <v>1113.6500000000001</v>
      </c>
      <c r="I341" s="579">
        <f>N341*K315</f>
        <v>11285.729314893057</v>
      </c>
      <c r="J341" s="709">
        <f t="shared" si="21"/>
        <v>23488.32</v>
      </c>
      <c r="K341" s="715"/>
      <c r="L341" s="796">
        <f>SUM(J270)-0.01</f>
        <v>23488.320000000003</v>
      </c>
      <c r="M341" s="801">
        <f>SUM(L275:L276)</f>
        <v>3123.4</v>
      </c>
      <c r="N341" s="801">
        <f>L341-M341</f>
        <v>20364.920000000002</v>
      </c>
    </row>
    <row r="342" spans="1:16" s="17" customFormat="1" ht="15" customHeight="1">
      <c r="A342" s="474"/>
      <c r="B342" s="892"/>
      <c r="C342" s="892"/>
      <c r="D342" s="892"/>
      <c r="E342" s="892"/>
      <c r="F342" s="892"/>
      <c r="G342" s="268"/>
      <c r="H342" s="269"/>
      <c r="I342" s="579"/>
      <c r="J342" s="709"/>
      <c r="K342" s="715"/>
      <c r="L342" s="789"/>
      <c r="M342" s="129"/>
    </row>
    <row r="343" spans="1:16" s="17" customFormat="1" ht="15" customHeight="1">
      <c r="A343" s="586" t="s">
        <v>464</v>
      </c>
      <c r="B343" s="587"/>
      <c r="C343" s="587"/>
      <c r="D343" s="587"/>
      <c r="E343" s="587"/>
      <c r="F343" s="587"/>
      <c r="G343" s="622"/>
      <c r="H343" s="623"/>
      <c r="I343" s="624"/>
      <c r="J343" s="710"/>
      <c r="K343" s="715"/>
      <c r="L343" s="792"/>
    </row>
    <row r="344" spans="1:16" s="17" customFormat="1" ht="15" customHeight="1">
      <c r="A344" s="472">
        <v>1</v>
      </c>
      <c r="B344" s="1437" t="s">
        <v>91</v>
      </c>
      <c r="C344" s="1438"/>
      <c r="D344" s="1438"/>
      <c r="E344" s="1438"/>
      <c r="F344" s="581"/>
      <c r="G344" s="268">
        <f>(L344*K313)</f>
        <v>4037.073693126516</v>
      </c>
      <c r="H344" s="269">
        <f t="shared" ref="H344:H347" si="25">ROUND(L344*$K$314,2)</f>
        <v>564.41999999999996</v>
      </c>
      <c r="I344" s="579">
        <f>ROUND(L344-H344-G344,2)</f>
        <v>5719.8</v>
      </c>
      <c r="J344" s="709">
        <f t="shared" si="21"/>
        <v>10321.290000000001</v>
      </c>
      <c r="K344" s="715"/>
      <c r="L344" s="797">
        <f>SUM(J285)</f>
        <v>10321.290000000001</v>
      </c>
    </row>
    <row r="345" spans="1:16" s="17" customFormat="1" ht="15" customHeight="1">
      <c r="A345" s="569">
        <v>2</v>
      </c>
      <c r="B345" s="1437" t="s">
        <v>351</v>
      </c>
      <c r="C345" s="1438"/>
      <c r="D345" s="1438"/>
      <c r="E345" s="1438"/>
      <c r="F345" s="581"/>
      <c r="G345" s="268">
        <f>(L345*K313)</f>
        <v>6994.9010084954562</v>
      </c>
      <c r="H345" s="269">
        <f t="shared" si="25"/>
        <v>977.94</v>
      </c>
      <c r="I345" s="579">
        <f>ROUND(L345-H345-G345,2)</f>
        <v>9910.51</v>
      </c>
      <c r="J345" s="709">
        <f t="shared" si="21"/>
        <v>17883.349999999999</v>
      </c>
      <c r="K345" s="715"/>
      <c r="L345" s="797">
        <f>SUM(J292)</f>
        <v>17883.349999999999</v>
      </c>
    </row>
    <row r="346" spans="1:16" s="17" customFormat="1" ht="15" customHeight="1">
      <c r="A346" s="472">
        <v>3</v>
      </c>
      <c r="B346" s="1437" t="s">
        <v>208</v>
      </c>
      <c r="C346" s="1438"/>
      <c r="D346" s="1438"/>
      <c r="E346" s="1438"/>
      <c r="F346" s="581"/>
      <c r="G346" s="268">
        <f>(L346*K313)</f>
        <v>2480.5030166940651</v>
      </c>
      <c r="H346" s="269">
        <f t="shared" si="25"/>
        <v>346.79</v>
      </c>
      <c r="I346" s="579">
        <f>ROUND(L346-H346-G346,2)</f>
        <v>3514.43</v>
      </c>
      <c r="J346" s="709">
        <f t="shared" si="21"/>
        <v>6341.72</v>
      </c>
      <c r="K346" s="715"/>
      <c r="L346" s="797">
        <f>SUM(J300)</f>
        <v>6341.72</v>
      </c>
      <c r="N346" s="275"/>
    </row>
    <row r="347" spans="1:16" s="17" customFormat="1" ht="15" customHeight="1">
      <c r="A347" s="472">
        <v>4</v>
      </c>
      <c r="B347" s="1437" t="s">
        <v>350</v>
      </c>
      <c r="C347" s="1438"/>
      <c r="D347" s="1438"/>
      <c r="E347" s="1438"/>
      <c r="F347" s="581"/>
      <c r="G347" s="268">
        <f>(L347*K313)</f>
        <v>2674.8998048362332</v>
      </c>
      <c r="H347" s="269">
        <f t="shared" si="25"/>
        <v>373.97</v>
      </c>
      <c r="I347" s="579">
        <f>ROUND(L347-H347-G347,2)</f>
        <v>3789.85</v>
      </c>
      <c r="J347" s="709">
        <f t="shared" si="21"/>
        <v>6838.72</v>
      </c>
      <c r="K347" s="715"/>
      <c r="L347" s="797">
        <f>SUM(J305)</f>
        <v>6838.72</v>
      </c>
    </row>
    <row r="348" spans="1:16" s="17" customFormat="1" ht="15" customHeight="1">
      <c r="A348" s="474"/>
      <c r="B348" s="892"/>
      <c r="C348" s="892"/>
      <c r="D348" s="892"/>
      <c r="E348" s="892"/>
      <c r="F348" s="892"/>
      <c r="G348" s="896"/>
      <c r="H348" s="273"/>
      <c r="I348" s="273"/>
      <c r="J348" s="711"/>
      <c r="K348" s="715"/>
      <c r="L348" s="789"/>
      <c r="M348" s="129"/>
      <c r="N348" s="129"/>
    </row>
    <row r="349" spans="1:16" s="17" customFormat="1" ht="15" customHeight="1">
      <c r="A349" s="1630" t="s">
        <v>21</v>
      </c>
      <c r="B349" s="1631"/>
      <c r="C349" s="1631"/>
      <c r="D349" s="1631"/>
      <c r="E349" s="1631"/>
      <c r="F349" s="1631"/>
      <c r="G349" s="600">
        <f>SUM(G323:G348)</f>
        <v>246717.06589666323</v>
      </c>
      <c r="H349" s="599">
        <f>SUM(H323:H348)</f>
        <v>9113.0700000000015</v>
      </c>
      <c r="I349" s="599">
        <f>SUM(I323:I347)</f>
        <v>92352.125269486743</v>
      </c>
      <c r="J349" s="712">
        <f>SUM(G349:I349)</f>
        <v>348182.26116614998</v>
      </c>
      <c r="K349" s="716"/>
      <c r="L349" s="796">
        <f>SUM(L323:L347)</f>
        <v>348183.71242523025</v>
      </c>
      <c r="M349" s="16"/>
      <c r="N349" s="129"/>
      <c r="O349" s="16"/>
      <c r="P349" s="16"/>
    </row>
    <row r="350" spans="1:16" s="16" customFormat="1" ht="17.45" customHeight="1">
      <c r="A350" s="1632" t="s">
        <v>30</v>
      </c>
      <c r="B350" s="1633"/>
      <c r="C350" s="1633"/>
      <c r="D350" s="1633"/>
      <c r="E350" s="1633"/>
      <c r="F350" s="1633"/>
      <c r="G350" s="601">
        <f>G349/J349</f>
        <v>0.70858597181357175</v>
      </c>
      <c r="H350" s="601">
        <f>H349/J349</f>
        <v>2.617327479429319E-2</v>
      </c>
      <c r="I350" s="601">
        <f>I349/J349</f>
        <v>0.26524075339213504</v>
      </c>
      <c r="J350" s="713">
        <f>SUM(G350:I350)</f>
        <v>1</v>
      </c>
      <c r="K350" s="717"/>
      <c r="L350" s="789"/>
      <c r="M350" s="17"/>
    </row>
    <row r="351" spans="1:16" s="16" customFormat="1" ht="15" customHeight="1">
      <c r="A351" s="476"/>
      <c r="B351" s="280"/>
      <c r="C351" s="280"/>
      <c r="D351" s="280"/>
      <c r="E351" s="280"/>
      <c r="F351" s="280"/>
      <c r="G351" s="871"/>
      <c r="H351" s="872"/>
      <c r="I351" s="872"/>
      <c r="J351" s="871"/>
      <c r="K351" s="717"/>
      <c r="L351" s="789"/>
      <c r="M351" s="129"/>
      <c r="N351" s="171"/>
    </row>
    <row r="352" spans="1:16" s="17" customFormat="1" ht="19.149999999999999" customHeight="1">
      <c r="A352" s="1628" t="s">
        <v>31</v>
      </c>
      <c r="B352" s="1629"/>
      <c r="C352" s="1629"/>
      <c r="D352" s="1629"/>
      <c r="E352" s="1629"/>
      <c r="F352" s="1629"/>
      <c r="G352" s="1629"/>
      <c r="H352" s="1629"/>
      <c r="I352" s="1629"/>
      <c r="J352" s="1629"/>
      <c r="K352" s="681"/>
      <c r="L352" s="789"/>
      <c r="N352" s="171"/>
    </row>
    <row r="353" spans="1:16" s="17" customFormat="1" ht="16.899999999999999" customHeight="1">
      <c r="A353" s="1381" t="s">
        <v>32</v>
      </c>
      <c r="B353" s="1326"/>
      <c r="C353" s="1326"/>
      <c r="D353" s="1326"/>
      <c r="E353" s="1326"/>
      <c r="F353" s="1294" t="s">
        <v>211</v>
      </c>
      <c r="G353" s="1294"/>
      <c r="H353" s="1294"/>
      <c r="I353" s="1294"/>
      <c r="J353" s="1289"/>
      <c r="K353" s="714"/>
      <c r="L353" s="789"/>
    </row>
    <row r="354" spans="1:16" s="17" customFormat="1" ht="16.149999999999999" customHeight="1">
      <c r="A354" s="1548" t="s">
        <v>545</v>
      </c>
      <c r="B354" s="1550"/>
      <c r="C354" s="1550"/>
      <c r="D354" s="1550"/>
      <c r="E354" s="1550"/>
      <c r="F354" s="1620">
        <v>232000</v>
      </c>
      <c r="G354" s="1550"/>
      <c r="H354" s="1550"/>
      <c r="I354" s="1550"/>
      <c r="J354" s="1316"/>
      <c r="K354" s="684"/>
      <c r="L354" s="789"/>
    </row>
    <row r="355" spans="1:16" s="17" customFormat="1" ht="16.149999999999999" customHeight="1">
      <c r="A355" s="1526" t="s">
        <v>539</v>
      </c>
      <c r="B355" s="1317"/>
      <c r="C355" s="1317"/>
      <c r="D355" s="1317"/>
      <c r="E355" s="1318"/>
      <c r="F355" s="1625">
        <f>J311</f>
        <v>166647.94</v>
      </c>
      <c r="G355" s="1626"/>
      <c r="H355" s="1626"/>
      <c r="I355" s="1626"/>
      <c r="J355" s="1627"/>
      <c r="K355" s="684"/>
      <c r="L355" s="789"/>
      <c r="M355" s="129"/>
    </row>
    <row r="356" spans="1:16" s="17" customFormat="1" ht="16.149999999999999" customHeight="1">
      <c r="A356" s="1526" t="s">
        <v>540</v>
      </c>
      <c r="B356" s="1317"/>
      <c r="C356" s="1317"/>
      <c r="D356" s="1317"/>
      <c r="E356" s="1318"/>
      <c r="F356" s="1625">
        <f>I313</f>
        <v>65182.745043277144</v>
      </c>
      <c r="G356" s="1626"/>
      <c r="H356" s="1626"/>
      <c r="I356" s="1626"/>
      <c r="J356" s="1627"/>
      <c r="K356" s="684"/>
      <c r="L356" s="789"/>
      <c r="M356" s="17">
        <v>129023.61</v>
      </c>
    </row>
    <row r="357" spans="1:16" s="17" customFormat="1" ht="16.149999999999999" customHeight="1">
      <c r="A357" s="1548" t="s">
        <v>25</v>
      </c>
      <c r="B357" s="1550"/>
      <c r="C357" s="1550"/>
      <c r="D357" s="1550"/>
      <c r="E357" s="1550"/>
      <c r="F357" s="1620">
        <f>SUM(J314)</f>
        <v>9113.0746574759796</v>
      </c>
      <c r="G357" s="1550"/>
      <c r="H357" s="1550"/>
      <c r="I357" s="1550"/>
      <c r="J357" s="1316"/>
      <c r="K357" s="684"/>
      <c r="L357" s="789"/>
      <c r="M357" s="17">
        <v>50465.58</v>
      </c>
    </row>
    <row r="358" spans="1:16" s="17" customFormat="1" ht="16.149999999999999" customHeight="1">
      <c r="A358" s="1526" t="s">
        <v>514</v>
      </c>
      <c r="B358" s="1317"/>
      <c r="C358" s="1317"/>
      <c r="D358" s="1317"/>
      <c r="E358" s="1318"/>
      <c r="F358" s="1625">
        <f>SUM(J315)</f>
        <v>92352.12029924689</v>
      </c>
      <c r="G358" s="1626"/>
      <c r="H358" s="1626"/>
      <c r="I358" s="1626"/>
      <c r="J358" s="1626"/>
      <c r="K358" s="684"/>
      <c r="L358" s="789"/>
      <c r="M358" s="17">
        <v>7055.51</v>
      </c>
    </row>
    <row r="359" spans="1:16" s="17" customFormat="1" ht="16.149999999999999" customHeight="1">
      <c r="A359" s="1548" t="s">
        <v>212</v>
      </c>
      <c r="B359" s="1550"/>
      <c r="C359" s="1550"/>
      <c r="D359" s="1550"/>
      <c r="E359" s="1550"/>
      <c r="F359" s="1620">
        <f>F356+F357+F358</f>
        <v>166647.94</v>
      </c>
      <c r="G359" s="1550"/>
      <c r="H359" s="1550"/>
      <c r="I359" s="1550"/>
      <c r="J359" s="1316"/>
      <c r="K359" s="684"/>
      <c r="L359" s="789"/>
      <c r="M359" s="16">
        <v>71502.52</v>
      </c>
      <c r="O359" s="16"/>
      <c r="P359" s="16"/>
    </row>
    <row r="360" spans="1:16" s="266" customFormat="1" ht="15" customHeight="1">
      <c r="A360" s="481"/>
      <c r="B360" s="261"/>
      <c r="C360" s="261"/>
      <c r="D360" s="261"/>
      <c r="E360" s="261"/>
      <c r="F360" s="480"/>
      <c r="G360" s="261"/>
      <c r="H360" s="261"/>
      <c r="I360" s="480"/>
      <c r="J360" s="261"/>
      <c r="K360" s="684"/>
      <c r="L360" s="792"/>
      <c r="M360" s="154"/>
      <c r="O360" s="154"/>
      <c r="P360" s="154"/>
    </row>
    <row r="361" spans="1:16" s="17" customFormat="1" ht="22.15" customHeight="1" thickBot="1">
      <c r="A361" s="1621" t="s">
        <v>403</v>
      </c>
      <c r="B361" s="1535"/>
      <c r="C361" s="1535"/>
      <c r="D361" s="1535"/>
      <c r="E361" s="1535"/>
      <c r="F361" s="1535"/>
      <c r="G361" s="1535"/>
      <c r="H361" s="1535"/>
      <c r="I361" s="1535"/>
      <c r="J361" s="1535"/>
      <c r="K361" s="684"/>
      <c r="L361" s="789"/>
    </row>
    <row r="362" spans="1:16" s="17" customFormat="1" ht="15" customHeight="1" thickTop="1">
      <c r="A362" s="598"/>
      <c r="B362" s="598"/>
      <c r="C362" s="598"/>
      <c r="D362" s="598"/>
      <c r="E362" s="598"/>
      <c r="F362" s="598"/>
      <c r="G362" s="598"/>
      <c r="H362" s="598"/>
      <c r="I362" s="655"/>
      <c r="J362" s="598"/>
      <c r="K362" s="585"/>
      <c r="L362" s="789"/>
    </row>
    <row r="363" spans="1:16" s="17" customFormat="1" ht="15" customHeight="1">
      <c r="A363" s="307"/>
      <c r="B363" s="307"/>
      <c r="C363" s="307"/>
      <c r="D363" s="307"/>
      <c r="E363" s="307"/>
      <c r="F363" s="307"/>
      <c r="G363" s="307"/>
      <c r="H363" s="307"/>
      <c r="I363" s="656"/>
      <c r="J363" s="307"/>
      <c r="K363" s="585"/>
      <c r="L363" s="789"/>
    </row>
    <row r="364" spans="1:16" s="17" customFormat="1" ht="13.9" customHeight="1">
      <c r="A364" s="286"/>
      <c r="B364" s="286"/>
      <c r="C364" s="286"/>
      <c r="D364" s="286"/>
      <c r="E364" s="286"/>
      <c r="F364" s="286"/>
      <c r="G364" s="175"/>
      <c r="H364" s="175"/>
      <c r="I364" s="628"/>
      <c r="J364" s="286"/>
      <c r="K364" s="605"/>
      <c r="L364" s="789"/>
    </row>
    <row r="365" spans="1:16" s="16" customFormat="1" ht="15" customHeight="1" thickBot="1">
      <c r="A365" s="401"/>
      <c r="B365" s="286"/>
      <c r="C365" s="286"/>
      <c r="D365" s="286"/>
      <c r="E365" s="286"/>
      <c r="F365" s="286"/>
      <c r="G365" s="175"/>
      <c r="H365" s="175"/>
      <c r="I365" s="628"/>
      <c r="J365" s="286"/>
      <c r="K365" s="605"/>
      <c r="L365" s="789"/>
    </row>
    <row r="366" spans="1:16" s="16" customFormat="1" ht="15" customHeight="1" thickTop="1">
      <c r="A366" s="1622" t="s">
        <v>33</v>
      </c>
      <c r="B366" s="1623"/>
      <c r="C366" s="1623"/>
      <c r="D366" s="1623"/>
      <c r="E366" s="1623"/>
      <c r="F366" s="1623"/>
      <c r="G366" s="1623"/>
      <c r="H366" s="1623"/>
      <c r="I366" s="1623"/>
      <c r="J366" s="1624"/>
      <c r="K366" s="585"/>
      <c r="L366" s="798"/>
    </row>
    <row r="367" spans="1:16" s="16" customFormat="1" ht="77.45" customHeight="1">
      <c r="A367" s="1424" t="s">
        <v>433</v>
      </c>
      <c r="B367" s="1425"/>
      <c r="C367" s="1425"/>
      <c r="D367" s="1425"/>
      <c r="E367" s="1425"/>
      <c r="F367" s="1425"/>
      <c r="G367" s="1425"/>
      <c r="H367" s="1425"/>
      <c r="I367" s="1425"/>
      <c r="J367" s="1426"/>
      <c r="K367" s="501"/>
      <c r="L367" s="789"/>
    </row>
    <row r="368" spans="1:16" s="16" customFormat="1" ht="15" customHeight="1">
      <c r="A368" s="350"/>
      <c r="B368" s="286"/>
      <c r="C368" s="286"/>
      <c r="D368" s="286"/>
      <c r="E368" s="286"/>
      <c r="F368" s="286"/>
      <c r="G368" s="175"/>
      <c r="H368" s="175"/>
      <c r="I368" s="628"/>
      <c r="J368" s="351"/>
      <c r="K368" s="605"/>
      <c r="L368" s="789"/>
    </row>
    <row r="369" spans="1:16" s="16" customFormat="1" ht="25.15" customHeight="1">
      <c r="A369" s="1548" t="s">
        <v>34</v>
      </c>
      <c r="B369" s="1550"/>
      <c r="C369" s="1550"/>
      <c r="D369" s="1550"/>
      <c r="E369" s="1550"/>
      <c r="F369" s="1550"/>
      <c r="G369" s="1550"/>
      <c r="H369" s="1550"/>
      <c r="I369" s="1550"/>
      <c r="J369" s="1619"/>
      <c r="K369" s="585"/>
      <c r="L369" s="789"/>
    </row>
    <row r="370" spans="1:16" s="16" customFormat="1" ht="15" customHeight="1">
      <c r="A370" s="1528" t="s">
        <v>377</v>
      </c>
      <c r="B370" s="1294"/>
      <c r="C370" s="1294"/>
      <c r="D370" s="1294"/>
      <c r="E370" s="1294"/>
      <c r="F370" s="1294"/>
      <c r="G370" s="1294"/>
      <c r="H370" s="1294"/>
      <c r="I370" s="1294"/>
      <c r="J370" s="1433"/>
      <c r="K370" s="501"/>
      <c r="L370" s="789"/>
      <c r="M370" s="17"/>
      <c r="O370" s="17"/>
      <c r="P370" s="17"/>
    </row>
    <row r="371" spans="1:16" s="17" customFormat="1" ht="86.45" customHeight="1">
      <c r="A371" s="1412" t="s">
        <v>466</v>
      </c>
      <c r="B371" s="1413"/>
      <c r="C371" s="1413"/>
      <c r="D371" s="1413"/>
      <c r="E371" s="1413"/>
      <c r="F371" s="1413"/>
      <c r="G371" s="1413"/>
      <c r="H371" s="1413"/>
      <c r="I371" s="1413"/>
      <c r="J371" s="1414"/>
      <c r="K371" s="502"/>
      <c r="L371" s="789"/>
      <c r="M371" s="16"/>
      <c r="O371" s="16"/>
      <c r="P371" s="16"/>
    </row>
    <row r="372" spans="1:16" s="16" customFormat="1" ht="15.6" customHeight="1">
      <c r="A372" s="350"/>
      <c r="B372" s="286"/>
      <c r="C372" s="286"/>
      <c r="D372" s="286"/>
      <c r="E372" s="286"/>
      <c r="F372" s="286"/>
      <c r="G372" s="175"/>
      <c r="H372" s="175"/>
      <c r="I372" s="628"/>
      <c r="J372" s="351"/>
      <c r="K372" s="605"/>
      <c r="L372" s="789"/>
    </row>
    <row r="373" spans="1:16" s="16" customFormat="1" ht="15" customHeight="1">
      <c r="A373" s="1548" t="s">
        <v>35</v>
      </c>
      <c r="B373" s="1550"/>
      <c r="C373" s="1550"/>
      <c r="D373" s="1550"/>
      <c r="E373" s="1550"/>
      <c r="F373" s="1550"/>
      <c r="G373" s="1550"/>
      <c r="H373" s="1550"/>
      <c r="I373" s="1550"/>
      <c r="J373" s="1619"/>
      <c r="K373" s="585"/>
      <c r="L373" s="789"/>
    </row>
    <row r="374" spans="1:16" s="16" customFormat="1" ht="15" customHeight="1">
      <c r="A374" s="1307" t="s">
        <v>534</v>
      </c>
      <c r="B374" s="1308"/>
      <c r="C374" s="1308"/>
      <c r="D374" s="1308"/>
      <c r="E374" s="1308"/>
      <c r="F374" s="1308"/>
      <c r="G374" s="1308"/>
      <c r="H374" s="1308"/>
      <c r="I374" s="1308"/>
      <c r="J374" s="1309"/>
      <c r="K374" s="501" t="s">
        <v>524</v>
      </c>
      <c r="L374" s="789"/>
    </row>
    <row r="375" spans="1:16" s="16" customFormat="1" ht="15" customHeight="1">
      <c r="A375" s="875"/>
      <c r="B375" s="876"/>
      <c r="C375" s="876"/>
      <c r="D375" s="876"/>
      <c r="E375" s="876"/>
      <c r="F375" s="876"/>
      <c r="G375" s="290"/>
      <c r="H375" s="290"/>
      <c r="I375" s="633"/>
      <c r="J375" s="877"/>
      <c r="K375" s="501"/>
      <c r="L375" s="789"/>
    </row>
    <row r="376" spans="1:16" s="16" customFormat="1" ht="15" customHeight="1">
      <c r="A376" s="875"/>
      <c r="B376" s="876"/>
      <c r="C376" s="876"/>
      <c r="D376" s="876"/>
      <c r="E376" s="876"/>
      <c r="F376" s="876"/>
      <c r="G376" s="290"/>
      <c r="H376" s="290"/>
      <c r="I376" s="633"/>
      <c r="J376" s="877"/>
      <c r="K376" s="501"/>
      <c r="L376" s="789"/>
    </row>
    <row r="377" spans="1:16" s="16" customFormat="1" ht="15" customHeight="1">
      <c r="A377" s="875"/>
      <c r="B377" s="876"/>
      <c r="C377" s="876"/>
      <c r="D377" s="876"/>
      <c r="E377" s="876"/>
      <c r="F377" s="876"/>
      <c r="G377" s="290"/>
      <c r="H377" s="290"/>
      <c r="I377" s="633"/>
      <c r="J377" s="877"/>
      <c r="K377" s="501"/>
      <c r="L377" s="789"/>
    </row>
    <row r="378" spans="1:16" s="16" customFormat="1" ht="15" customHeight="1">
      <c r="A378" s="875"/>
      <c r="B378" s="876"/>
      <c r="C378" s="876"/>
      <c r="D378" s="876"/>
      <c r="E378" s="876"/>
      <c r="F378" s="876"/>
      <c r="G378" s="290"/>
      <c r="H378" s="290"/>
      <c r="I378" s="633"/>
      <c r="J378" s="877"/>
      <c r="K378" s="501"/>
      <c r="L378" s="789"/>
    </row>
    <row r="379" spans="1:16" s="16" customFormat="1" ht="15" customHeight="1">
      <c r="A379" s="875"/>
      <c r="B379" s="876"/>
      <c r="C379" s="876"/>
      <c r="D379" s="876"/>
      <c r="E379" s="876"/>
      <c r="F379" s="876"/>
      <c r="G379" s="290"/>
      <c r="H379" s="290"/>
      <c r="I379" s="633"/>
      <c r="J379" s="877"/>
      <c r="K379" s="501"/>
      <c r="L379" s="789"/>
    </row>
    <row r="380" spans="1:16" s="16" customFormat="1" ht="15" customHeight="1">
      <c r="A380" s="875"/>
      <c r="B380" s="876"/>
      <c r="C380" s="876"/>
      <c r="D380" s="876"/>
      <c r="E380" s="876"/>
      <c r="F380" s="876"/>
      <c r="G380" s="290"/>
      <c r="H380" s="290"/>
      <c r="I380" s="633"/>
      <c r="J380" s="877"/>
      <c r="K380" s="501"/>
      <c r="L380" s="789"/>
    </row>
    <row r="381" spans="1:16" s="16" customFormat="1" ht="15" customHeight="1">
      <c r="A381" s="875"/>
      <c r="B381" s="876"/>
      <c r="C381" s="876"/>
      <c r="D381" s="876"/>
      <c r="E381" s="876"/>
      <c r="F381" s="876"/>
      <c r="G381" s="290"/>
      <c r="H381" s="290"/>
      <c r="I381" s="633"/>
      <c r="J381" s="877"/>
      <c r="K381" s="501"/>
      <c r="L381" s="799"/>
      <c r="M381" s="108"/>
      <c r="O381" s="108"/>
      <c r="P381" s="108"/>
    </row>
    <row r="382" spans="1:16" s="108" customFormat="1" ht="15" customHeight="1">
      <c r="A382" s="1297" t="s">
        <v>379</v>
      </c>
      <c r="B382" s="1298"/>
      <c r="C382" s="1298"/>
      <c r="D382" s="1298"/>
      <c r="E382" s="1298"/>
      <c r="F382" s="1299" t="s">
        <v>296</v>
      </c>
      <c r="G382" s="1299"/>
      <c r="H382" s="1299"/>
      <c r="I382" s="1299"/>
      <c r="J382" s="1300"/>
      <c r="K382" s="617"/>
      <c r="L382" s="799"/>
    </row>
    <row r="383" spans="1:16" s="108" customFormat="1" ht="15" customHeight="1">
      <c r="A383" s="1297" t="s">
        <v>535</v>
      </c>
      <c r="B383" s="1298"/>
      <c r="C383" s="1298"/>
      <c r="D383" s="1298"/>
      <c r="E383" s="1298"/>
      <c r="F383" s="1299" t="s">
        <v>536</v>
      </c>
      <c r="G383" s="1299"/>
      <c r="H383" s="1299"/>
      <c r="I383" s="1299"/>
      <c r="J383" s="1300"/>
      <c r="K383" s="617"/>
      <c r="L383" s="799"/>
    </row>
    <row r="384" spans="1:16" s="108" customFormat="1" ht="15" customHeight="1">
      <c r="A384" s="1297" t="s">
        <v>382</v>
      </c>
      <c r="B384" s="1298"/>
      <c r="C384" s="1298"/>
      <c r="D384" s="1298"/>
      <c r="E384" s="1298"/>
      <c r="F384" s="1299" t="s">
        <v>537</v>
      </c>
      <c r="G384" s="1299"/>
      <c r="H384" s="1299"/>
      <c r="I384" s="1299"/>
      <c r="J384" s="1300"/>
      <c r="K384" s="617"/>
      <c r="L384" s="789"/>
      <c r="M384" s="16"/>
      <c r="O384" s="16"/>
      <c r="P384" s="16"/>
    </row>
    <row r="385" spans="1:16" s="16" customFormat="1" ht="15" customHeight="1">
      <c r="A385" s="482"/>
      <c r="B385" s="305"/>
      <c r="C385" s="305"/>
      <c r="D385" s="305"/>
      <c r="E385" s="305"/>
      <c r="F385" s="306"/>
      <c r="G385" s="38"/>
      <c r="H385" s="38"/>
      <c r="I385" s="657"/>
      <c r="J385" s="483"/>
      <c r="K385" s="618"/>
      <c r="L385" s="789"/>
    </row>
    <row r="386" spans="1:16" s="16" customFormat="1" ht="15" customHeight="1">
      <c r="A386" s="484"/>
      <c r="B386" s="307"/>
      <c r="C386" s="307"/>
      <c r="D386" s="307"/>
      <c r="E386" s="307"/>
      <c r="F386" s="887"/>
      <c r="G386" s="175"/>
      <c r="H386" s="175"/>
      <c r="I386" s="628"/>
      <c r="J386" s="888"/>
      <c r="K386" s="503"/>
      <c r="L386" s="789"/>
    </row>
    <row r="387" spans="1:16" s="16" customFormat="1" ht="15" customHeight="1">
      <c r="A387" s="484"/>
      <c r="B387" s="307"/>
      <c r="C387" s="307"/>
      <c r="D387" s="307"/>
      <c r="E387" s="307"/>
      <c r="F387" s="887"/>
      <c r="G387" s="175"/>
      <c r="H387" s="175"/>
      <c r="I387" s="628"/>
      <c r="J387" s="888"/>
      <c r="K387" s="503"/>
      <c r="L387" s="789"/>
    </row>
    <row r="388" spans="1:16" s="16" customFormat="1" ht="15" customHeight="1" thickBot="1">
      <c r="A388" s="486"/>
      <c r="B388" s="487"/>
      <c r="C388" s="487"/>
      <c r="D388" s="487"/>
      <c r="E388" s="487"/>
      <c r="F388" s="400"/>
      <c r="G388" s="399"/>
      <c r="H388" s="399"/>
      <c r="I388" s="644"/>
      <c r="J388" s="488"/>
      <c r="K388" s="503"/>
      <c r="L388" s="786"/>
      <c r="M388"/>
      <c r="O388"/>
      <c r="P388"/>
    </row>
    <row r="389" spans="1:16" ht="15.75" thickTop="1">
      <c r="A389" s="308"/>
      <c r="B389" s="308"/>
      <c r="C389" s="308"/>
      <c r="D389" s="308"/>
      <c r="E389" s="308"/>
      <c r="F389" s="308"/>
      <c r="G389" s="251"/>
      <c r="H389" s="251"/>
      <c r="I389" s="658"/>
      <c r="J389" s="308"/>
      <c r="K389" s="619"/>
    </row>
    <row r="390" spans="1:16">
      <c r="A390" s="308"/>
      <c r="B390" s="308"/>
      <c r="C390" s="308"/>
      <c r="D390" s="308"/>
      <c r="E390" s="308"/>
      <c r="F390" s="308"/>
      <c r="G390" s="251"/>
      <c r="H390" s="251"/>
      <c r="I390" s="658"/>
      <c r="J390" s="308"/>
      <c r="K390" s="619"/>
    </row>
    <row r="391" spans="1:16">
      <c r="A391" s="308"/>
      <c r="B391" s="308"/>
      <c r="C391" s="308"/>
      <c r="D391" s="308"/>
      <c r="E391" s="308"/>
      <c r="F391" s="308"/>
      <c r="G391" s="251"/>
      <c r="H391" s="251"/>
      <c r="I391" s="658"/>
      <c r="J391" s="308"/>
      <c r="K391" s="619"/>
    </row>
    <row r="392" spans="1:16">
      <c r="A392" s="308"/>
      <c r="B392" s="308"/>
      <c r="C392" s="308"/>
      <c r="D392" s="308"/>
      <c r="E392" s="308"/>
      <c r="F392" s="308"/>
      <c r="G392" s="251"/>
      <c r="H392" s="251"/>
      <c r="I392" s="658"/>
      <c r="J392" s="308"/>
      <c r="K392" s="619"/>
    </row>
    <row r="393" spans="1:16">
      <c r="A393" s="308"/>
      <c r="B393" s="308"/>
      <c r="C393" s="308"/>
      <c r="D393" s="308"/>
      <c r="E393" s="308"/>
      <c r="F393" s="308"/>
      <c r="G393" s="251"/>
      <c r="H393" s="251"/>
      <c r="I393" s="658"/>
      <c r="J393" s="308"/>
      <c r="K393" s="619"/>
    </row>
    <row r="394" spans="1:16">
      <c r="A394" s="308"/>
      <c r="B394" s="308"/>
      <c r="C394" s="308"/>
      <c r="D394" s="308"/>
      <c r="E394" s="308"/>
      <c r="F394" s="308"/>
      <c r="G394" s="251"/>
      <c r="H394" s="251"/>
      <c r="I394" s="658"/>
      <c r="J394" s="308"/>
      <c r="K394" s="619"/>
    </row>
    <row r="395" spans="1:16">
      <c r="A395" s="308"/>
      <c r="B395" s="308"/>
      <c r="C395" s="308"/>
      <c r="D395" s="308"/>
      <c r="E395" s="308"/>
      <c r="F395" s="308"/>
      <c r="G395" s="251"/>
      <c r="H395" s="251"/>
      <c r="I395" s="658"/>
      <c r="J395" s="308"/>
      <c r="K395" s="619"/>
    </row>
    <row r="396" spans="1:16">
      <c r="A396" s="308"/>
      <c r="B396" s="308"/>
      <c r="C396" s="308"/>
      <c r="D396" s="308"/>
      <c r="E396" s="308"/>
      <c r="F396" s="308"/>
      <c r="G396" s="251"/>
      <c r="H396" s="251"/>
      <c r="I396" s="658"/>
      <c r="J396" s="308"/>
      <c r="K396" s="619"/>
    </row>
    <row r="397" spans="1:16">
      <c r="A397" s="308"/>
      <c r="B397" s="308"/>
      <c r="C397" s="308"/>
      <c r="D397" s="308"/>
      <c r="E397" s="308"/>
      <c r="F397" s="308"/>
      <c r="G397" s="251"/>
      <c r="H397" s="251"/>
      <c r="I397" s="658"/>
      <c r="J397" s="308"/>
      <c r="K397" s="619"/>
    </row>
    <row r="398" spans="1:16">
      <c r="A398" s="308"/>
      <c r="B398" s="308"/>
      <c r="C398" s="308"/>
      <c r="D398" s="308"/>
      <c r="E398" s="308"/>
      <c r="F398" s="308"/>
      <c r="G398" s="251"/>
      <c r="H398" s="251"/>
      <c r="I398" s="658"/>
      <c r="J398" s="308"/>
      <c r="K398" s="619"/>
    </row>
    <row r="399" spans="1:16">
      <c r="A399" s="308"/>
      <c r="B399" s="308"/>
      <c r="C399" s="308"/>
      <c r="D399" s="308"/>
      <c r="E399" s="308"/>
      <c r="F399" s="308"/>
      <c r="G399" s="251"/>
      <c r="H399" s="251"/>
      <c r="I399" s="658"/>
      <c r="J399" s="308"/>
      <c r="K399" s="619"/>
    </row>
    <row r="400" spans="1:16">
      <c r="A400" s="308"/>
      <c r="B400" s="308"/>
      <c r="C400" s="308"/>
      <c r="D400" s="308"/>
      <c r="E400" s="308"/>
      <c r="F400" s="308"/>
      <c r="G400" s="251"/>
      <c r="H400" s="251"/>
      <c r="I400" s="658"/>
      <c r="J400" s="308"/>
      <c r="K400" s="619"/>
    </row>
    <row r="401" spans="1:25">
      <c r="A401" s="308"/>
      <c r="B401" s="308"/>
      <c r="C401" s="308"/>
      <c r="D401" s="308"/>
      <c r="E401" s="308"/>
      <c r="F401" s="308"/>
      <c r="G401" s="251"/>
      <c r="H401" s="251"/>
      <c r="I401" s="658"/>
      <c r="J401" s="308"/>
      <c r="K401" s="619"/>
    </row>
    <row r="402" spans="1:25" s="786" customFormat="1">
      <c r="A402" s="308"/>
      <c r="B402" s="308"/>
      <c r="C402" s="308"/>
      <c r="D402" s="308"/>
      <c r="E402" s="308"/>
      <c r="F402" s="308"/>
      <c r="G402" s="251"/>
      <c r="H402" s="251"/>
      <c r="I402" s="658"/>
      <c r="J402" s="308"/>
      <c r="K402" s="619"/>
      <c r="M402"/>
      <c r="N402"/>
      <c r="O402"/>
      <c r="P402"/>
      <c r="Q402"/>
      <c r="R402"/>
      <c r="S402"/>
      <c r="T402"/>
      <c r="U402"/>
      <c r="V402"/>
      <c r="W402"/>
      <c r="X402"/>
      <c r="Y402"/>
    </row>
    <row r="403" spans="1:25" s="786" customFormat="1">
      <c r="A403" s="308"/>
      <c r="B403" s="308"/>
      <c r="C403" s="308"/>
      <c r="D403" s="308"/>
      <c r="E403" s="308"/>
      <c r="F403" s="308"/>
      <c r="G403" s="251"/>
      <c r="H403" s="251"/>
      <c r="I403" s="658"/>
      <c r="J403" s="308"/>
      <c r="K403" s="619"/>
      <c r="M403"/>
      <c r="N403"/>
      <c r="O403"/>
      <c r="P403"/>
      <c r="Q403"/>
      <c r="R403"/>
      <c r="S403"/>
      <c r="T403"/>
      <c r="U403"/>
      <c r="V403"/>
      <c r="W403"/>
      <c r="X403"/>
      <c r="Y403"/>
    </row>
    <row r="404" spans="1:25" s="786" customFormat="1">
      <c r="A404" s="308"/>
      <c r="B404" s="308"/>
      <c r="C404" s="308"/>
      <c r="D404" s="308"/>
      <c r="E404" s="308"/>
      <c r="F404" s="308"/>
      <c r="G404" s="251"/>
      <c r="H404" s="251"/>
      <c r="I404" s="658"/>
      <c r="J404" s="308"/>
      <c r="K404" s="619"/>
      <c r="M404"/>
      <c r="N404"/>
      <c r="O404"/>
      <c r="P404"/>
      <c r="Q404"/>
      <c r="R404"/>
      <c r="S404"/>
      <c r="T404"/>
      <c r="U404"/>
      <c r="V404"/>
      <c r="W404"/>
      <c r="X404"/>
      <c r="Y404"/>
    </row>
    <row r="405" spans="1:25" s="786" customFormat="1">
      <c r="A405" s="308"/>
      <c r="B405" s="308"/>
      <c r="C405" s="308"/>
      <c r="D405" s="308"/>
      <c r="E405" s="308"/>
      <c r="F405" s="308"/>
      <c r="G405" s="251"/>
      <c r="H405" s="251"/>
      <c r="I405" s="658"/>
      <c r="J405" s="308"/>
      <c r="K405" s="619"/>
      <c r="M405"/>
      <c r="N405"/>
      <c r="O405"/>
      <c r="P405"/>
      <c r="Q405"/>
      <c r="R405"/>
      <c r="S405"/>
      <c r="T405"/>
      <c r="U405"/>
      <c r="V405"/>
      <c r="W405"/>
      <c r="X405"/>
      <c r="Y405"/>
    </row>
    <row r="406" spans="1:25" s="786" customFormat="1">
      <c r="A406" s="308"/>
      <c r="B406" s="308"/>
      <c r="C406" s="308"/>
      <c r="D406" s="308"/>
      <c r="E406" s="308"/>
      <c r="F406" s="308"/>
      <c r="G406" s="251"/>
      <c r="H406" s="251"/>
      <c r="I406" s="658"/>
      <c r="J406" s="308"/>
      <c r="K406" s="619"/>
      <c r="M406"/>
      <c r="N406"/>
      <c r="O406"/>
      <c r="P406"/>
      <c r="Q406"/>
      <c r="R406"/>
      <c r="S406"/>
      <c r="T406"/>
      <c r="U406"/>
      <c r="V406"/>
      <c r="W406"/>
      <c r="X406"/>
      <c r="Y406"/>
    </row>
    <row r="407" spans="1:25" s="786" customFormat="1">
      <c r="A407" s="308"/>
      <c r="B407" s="308"/>
      <c r="C407" s="308"/>
      <c r="D407" s="308"/>
      <c r="E407" s="308"/>
      <c r="F407" s="308"/>
      <c r="G407" s="251"/>
      <c r="H407" s="251"/>
      <c r="I407" s="658"/>
      <c r="J407" s="308"/>
      <c r="K407" s="619"/>
      <c r="M407"/>
      <c r="N407"/>
      <c r="O407"/>
      <c r="P407"/>
      <c r="Q407"/>
      <c r="R407"/>
      <c r="S407"/>
      <c r="T407"/>
      <c r="U407"/>
      <c r="V407"/>
      <c r="W407"/>
      <c r="X407"/>
      <c r="Y407"/>
    </row>
    <row r="408" spans="1:25" s="786" customFormat="1">
      <c r="A408" s="308"/>
      <c r="B408" s="308"/>
      <c r="C408" s="308"/>
      <c r="D408" s="308"/>
      <c r="E408" s="308"/>
      <c r="F408" s="308"/>
      <c r="G408" s="251"/>
      <c r="H408" s="251"/>
      <c r="I408" s="658"/>
      <c r="J408" s="308"/>
      <c r="K408" s="619"/>
      <c r="M408"/>
      <c r="N408"/>
      <c r="O408"/>
      <c r="P408"/>
      <c r="Q408"/>
      <c r="R408"/>
      <c r="S408"/>
      <c r="T408"/>
      <c r="U408"/>
      <c r="V408"/>
      <c r="W408"/>
      <c r="X408"/>
      <c r="Y408"/>
    </row>
    <row r="409" spans="1:25" s="786" customFormat="1">
      <c r="A409" s="308"/>
      <c r="B409" s="308"/>
      <c r="C409" s="308"/>
      <c r="D409" s="308"/>
      <c r="E409" s="308"/>
      <c r="F409" s="308"/>
      <c r="G409" s="251"/>
      <c r="H409" s="251"/>
      <c r="I409" s="658"/>
      <c r="J409" s="308"/>
      <c r="K409" s="619"/>
      <c r="M409"/>
      <c r="N409"/>
      <c r="O409"/>
      <c r="P409"/>
      <c r="Q409"/>
      <c r="R409"/>
      <c r="S409"/>
      <c r="T409"/>
      <c r="U409"/>
      <c r="V409"/>
      <c r="W409"/>
      <c r="X409"/>
      <c r="Y409"/>
    </row>
    <row r="410" spans="1:25" s="786" customFormat="1">
      <c r="A410" s="308"/>
      <c r="B410" s="308"/>
      <c r="C410" s="308"/>
      <c r="D410" s="308"/>
      <c r="E410" s="308"/>
      <c r="F410" s="308"/>
      <c r="G410" s="251"/>
      <c r="H410" s="251"/>
      <c r="I410" s="658"/>
      <c r="J410" s="308"/>
      <c r="K410" s="619"/>
      <c r="M410"/>
      <c r="N410"/>
      <c r="O410"/>
      <c r="P410"/>
      <c r="Q410"/>
      <c r="R410"/>
      <c r="S410"/>
      <c r="T410"/>
      <c r="U410"/>
      <c r="V410"/>
      <c r="W410"/>
      <c r="X410"/>
      <c r="Y410"/>
    </row>
    <row r="411" spans="1:25" s="786" customFormat="1">
      <c r="A411" s="308"/>
      <c r="B411" s="308"/>
      <c r="C411" s="308"/>
      <c r="D411" s="308"/>
      <c r="E411" s="308"/>
      <c r="F411" s="308"/>
      <c r="G411" s="251"/>
      <c r="H411" s="251"/>
      <c r="I411" s="658"/>
      <c r="J411" s="308"/>
      <c r="K411" s="619"/>
      <c r="M411"/>
      <c r="N411"/>
      <c r="O411"/>
      <c r="P411"/>
      <c r="Q411"/>
      <c r="R411"/>
      <c r="S411"/>
      <c r="T411"/>
      <c r="U411"/>
      <c r="V411"/>
      <c r="W411"/>
      <c r="X411"/>
      <c r="Y411"/>
    </row>
    <row r="412" spans="1:25" s="786" customFormat="1">
      <c r="A412" s="308"/>
      <c r="B412" s="308"/>
      <c r="C412" s="308"/>
      <c r="D412" s="308"/>
      <c r="E412" s="308"/>
      <c r="F412" s="308"/>
      <c r="G412" s="251"/>
      <c r="H412" s="251"/>
      <c r="I412" s="658"/>
      <c r="J412" s="308"/>
      <c r="K412" s="619"/>
      <c r="M412"/>
      <c r="N412"/>
      <c r="O412"/>
      <c r="P412"/>
      <c r="Q412"/>
      <c r="R412"/>
      <c r="S412"/>
      <c r="T412"/>
      <c r="U412"/>
      <c r="V412"/>
      <c r="W412"/>
      <c r="X412"/>
      <c r="Y412"/>
    </row>
    <row r="413" spans="1:25" s="786" customFormat="1">
      <c r="A413" s="308"/>
      <c r="B413" s="308"/>
      <c r="C413" s="308"/>
      <c r="D413" s="308"/>
      <c r="E413" s="308"/>
      <c r="F413" s="308"/>
      <c r="G413" s="251"/>
      <c r="H413" s="251"/>
      <c r="I413" s="658"/>
      <c r="J413" s="308"/>
      <c r="K413" s="619"/>
      <c r="M413"/>
      <c r="N413"/>
      <c r="O413"/>
      <c r="P413"/>
      <c r="Q413"/>
      <c r="R413"/>
      <c r="S413"/>
      <c r="T413"/>
      <c r="U413"/>
      <c r="V413"/>
      <c r="W413"/>
      <c r="X413"/>
      <c r="Y413"/>
    </row>
    <row r="414" spans="1:25" s="786" customFormat="1">
      <c r="A414" s="308"/>
      <c r="B414" s="308"/>
      <c r="C414" s="308"/>
      <c r="D414" s="308"/>
      <c r="E414" s="308"/>
      <c r="F414" s="308"/>
      <c r="G414" s="251"/>
      <c r="H414" s="251"/>
      <c r="I414" s="658"/>
      <c r="J414" s="308"/>
      <c r="K414" s="619"/>
      <c r="M414"/>
      <c r="N414"/>
      <c r="O414"/>
      <c r="P414"/>
      <c r="Q414"/>
      <c r="R414"/>
      <c r="S414"/>
      <c r="T414"/>
      <c r="U414"/>
      <c r="V414"/>
      <c r="W414"/>
      <c r="X414"/>
      <c r="Y414"/>
    </row>
    <row r="415" spans="1:25" s="786" customFormat="1">
      <c r="A415" s="308"/>
      <c r="B415" s="308"/>
      <c r="C415" s="308"/>
      <c r="D415" s="308"/>
      <c r="E415" s="308"/>
      <c r="F415" s="308"/>
      <c r="G415" s="251"/>
      <c r="H415" s="251"/>
      <c r="I415" s="658"/>
      <c r="J415" s="308"/>
      <c r="K415" s="619"/>
      <c r="M415"/>
      <c r="N415"/>
      <c r="O415"/>
      <c r="P415"/>
      <c r="Q415"/>
      <c r="R415"/>
      <c r="S415"/>
      <c r="T415"/>
      <c r="U415"/>
      <c r="V415"/>
      <c r="W415"/>
      <c r="X415"/>
      <c r="Y415"/>
    </row>
    <row r="416" spans="1:25" s="786" customFormat="1">
      <c r="A416" s="308"/>
      <c r="B416" s="308"/>
      <c r="C416" s="308"/>
      <c r="D416" s="308"/>
      <c r="E416" s="308"/>
      <c r="F416" s="308"/>
      <c r="G416" s="251"/>
      <c r="H416" s="251"/>
      <c r="I416" s="658"/>
      <c r="J416" s="308"/>
      <c r="K416" s="619"/>
      <c r="M416"/>
      <c r="N416"/>
      <c r="O416"/>
      <c r="P416"/>
      <c r="Q416"/>
      <c r="R416"/>
      <c r="S416"/>
      <c r="T416"/>
      <c r="U416"/>
      <c r="V416"/>
      <c r="W416"/>
      <c r="X416"/>
      <c r="Y416"/>
    </row>
    <row r="417" spans="1:25" s="786" customFormat="1" ht="15.75" thickBot="1">
      <c r="A417" s="308"/>
      <c r="B417" s="308"/>
      <c r="C417" s="308"/>
      <c r="D417" s="308"/>
      <c r="E417" s="308"/>
      <c r="F417" s="308"/>
      <c r="G417" s="251"/>
      <c r="H417" s="251"/>
      <c r="I417" s="658"/>
      <c r="J417" s="308"/>
      <c r="K417" s="619"/>
      <c r="M417"/>
      <c r="N417"/>
      <c r="O417"/>
      <c r="P417"/>
      <c r="Q417"/>
      <c r="R417"/>
      <c r="S417"/>
      <c r="T417"/>
      <c r="U417"/>
      <c r="V417"/>
      <c r="W417"/>
      <c r="X417"/>
      <c r="Y417"/>
    </row>
    <row r="418" spans="1:25" ht="15.75" thickTop="1">
      <c r="A418" s="1323" t="s">
        <v>367</v>
      </c>
      <c r="B418" s="1324"/>
      <c r="C418" s="1324"/>
      <c r="D418" s="1324"/>
      <c r="E418" s="1324"/>
      <c r="F418" s="1324"/>
      <c r="G418" s="1324"/>
      <c r="H418" s="1324"/>
      <c r="I418" s="1324"/>
      <c r="J418" s="1325"/>
      <c r="K418" s="585"/>
    </row>
    <row r="419" spans="1:25" ht="25.5">
      <c r="A419" s="889"/>
      <c r="B419" s="1326" t="s">
        <v>10</v>
      </c>
      <c r="C419" s="1326"/>
      <c r="D419" s="1326"/>
      <c r="E419" s="1326"/>
      <c r="F419" s="1326"/>
      <c r="G419" s="910" t="s">
        <v>287</v>
      </c>
      <c r="H419" s="910" t="s">
        <v>288</v>
      </c>
      <c r="I419" s="636" t="s">
        <v>18</v>
      </c>
      <c r="J419" s="377" t="s">
        <v>20</v>
      </c>
      <c r="K419" s="585"/>
    </row>
    <row r="420" spans="1:25">
      <c r="A420" s="378"/>
      <c r="B420" s="1316" t="s">
        <v>205</v>
      </c>
      <c r="C420" s="1317"/>
      <c r="D420" s="1317"/>
      <c r="E420" s="1317"/>
      <c r="F420" s="1318"/>
      <c r="G420" s="578"/>
      <c r="H420" s="578"/>
      <c r="I420" s="914"/>
      <c r="J420" s="541">
        <f>SUM(J421+J426+J428)</f>
        <v>25150.077699999998</v>
      </c>
      <c r="K420" s="616"/>
    </row>
    <row r="421" spans="1:25">
      <c r="A421" s="380">
        <v>1</v>
      </c>
      <c r="B421" s="1322" t="s">
        <v>36</v>
      </c>
      <c r="C421" s="1322"/>
      <c r="D421" s="1322"/>
      <c r="E421" s="1322"/>
      <c r="F421" s="1322"/>
      <c r="G421" s="181"/>
      <c r="H421" s="182"/>
      <c r="I421" s="637"/>
      <c r="J421" s="513">
        <f>SUM(J422:J425)</f>
        <v>10526.923699999999</v>
      </c>
      <c r="K421" s="620"/>
    </row>
    <row r="422" spans="1:25">
      <c r="A422" s="412" t="s">
        <v>39</v>
      </c>
      <c r="B422" s="1616" t="s">
        <v>364</v>
      </c>
      <c r="C422" s="1617"/>
      <c r="D422" s="1617"/>
      <c r="E422" s="1617"/>
      <c r="F422" s="1618"/>
      <c r="G422" s="185">
        <f>81+291.46</f>
        <v>372.46</v>
      </c>
      <c r="H422" s="186" t="s">
        <v>92</v>
      </c>
      <c r="I422" s="529">
        <v>15</v>
      </c>
      <c r="J422" s="514">
        <f>G422*I422</f>
        <v>5586.9</v>
      </c>
      <c r="K422" s="613"/>
      <c r="L422" s="786" t="s">
        <v>459</v>
      </c>
    </row>
    <row r="423" spans="1:25" ht="24.75" customHeight="1">
      <c r="A423" s="412" t="s">
        <v>345</v>
      </c>
      <c r="B423" s="1313" t="s">
        <v>93</v>
      </c>
      <c r="C423" s="1314"/>
      <c r="D423" s="1314"/>
      <c r="E423" s="1314"/>
      <c r="F423" s="1315"/>
      <c r="G423" s="185">
        <v>691.27</v>
      </c>
      <c r="H423" s="186" t="s">
        <v>96</v>
      </c>
      <c r="I423" s="529">
        <v>1.49</v>
      </c>
      <c r="J423" s="514">
        <f>G423*I423</f>
        <v>1029.9922999999999</v>
      </c>
      <c r="K423" s="613"/>
      <c r="L423" s="786" t="s">
        <v>460</v>
      </c>
    </row>
    <row r="424" spans="1:25">
      <c r="A424" s="412" t="s">
        <v>347</v>
      </c>
      <c r="B424" s="1313" t="s">
        <v>363</v>
      </c>
      <c r="C424" s="1314"/>
      <c r="D424" s="1314"/>
      <c r="E424" s="1314"/>
      <c r="F424" s="1315"/>
      <c r="G424" s="185">
        <f>G422</f>
        <v>372.46</v>
      </c>
      <c r="H424" s="186" t="s">
        <v>92</v>
      </c>
      <c r="I424" s="529">
        <v>4.2300000000000004</v>
      </c>
      <c r="J424" s="514">
        <f>G424*I424</f>
        <v>1575.5058000000001</v>
      </c>
      <c r="K424" s="613"/>
      <c r="L424" s="786" t="s">
        <v>461</v>
      </c>
    </row>
    <row r="425" spans="1:25">
      <c r="A425" s="412" t="s">
        <v>349</v>
      </c>
      <c r="B425" s="1313" t="s">
        <v>346</v>
      </c>
      <c r="C425" s="1314"/>
      <c r="D425" s="1314"/>
      <c r="E425" s="1314"/>
      <c r="F425" s="1315"/>
      <c r="G425" s="185">
        <f>215.36+25.81</f>
        <v>241.17000000000002</v>
      </c>
      <c r="H425" s="186" t="s">
        <v>96</v>
      </c>
      <c r="I425" s="529">
        <v>9.68</v>
      </c>
      <c r="J425" s="514">
        <f>G425*I425</f>
        <v>2334.5255999999999</v>
      </c>
      <c r="K425" s="613"/>
      <c r="L425" s="786" t="s">
        <v>461</v>
      </c>
    </row>
    <row r="426" spans="1:25" ht="12.6" customHeight="1">
      <c r="A426" s="380">
        <v>4</v>
      </c>
      <c r="B426" s="1322" t="s">
        <v>63</v>
      </c>
      <c r="C426" s="1322"/>
      <c r="D426" s="1322"/>
      <c r="E426" s="1322"/>
      <c r="F426" s="1322"/>
      <c r="G426" s="182"/>
      <c r="H426" s="189"/>
      <c r="I426" s="638"/>
      <c r="J426" s="384">
        <f>J427</f>
        <v>7373.96</v>
      </c>
      <c r="K426" s="534"/>
    </row>
    <row r="427" spans="1:25" ht="27" customHeight="1">
      <c r="A427" s="389" t="s">
        <v>62</v>
      </c>
      <c r="B427" s="1335" t="s">
        <v>57</v>
      </c>
      <c r="C427" s="1335"/>
      <c r="D427" s="1335"/>
      <c r="E427" s="1335"/>
      <c r="F427" s="1335"/>
      <c r="G427" s="196">
        <f>5.85+3.32</f>
        <v>9.17</v>
      </c>
      <c r="H427" s="186" t="s">
        <v>96</v>
      </c>
      <c r="I427" s="554">
        <v>804.14</v>
      </c>
      <c r="J427" s="390">
        <f>ROUND(G427*I427,2)</f>
        <v>7373.96</v>
      </c>
      <c r="K427" s="584"/>
      <c r="L427" s="786" t="s">
        <v>461</v>
      </c>
    </row>
    <row r="428" spans="1:25">
      <c r="A428" s="393">
        <v>5</v>
      </c>
      <c r="B428" s="1336" t="s">
        <v>78</v>
      </c>
      <c r="C428" s="1337"/>
      <c r="D428" s="1337"/>
      <c r="E428" s="1337"/>
      <c r="F428" s="1338"/>
      <c r="G428" s="292"/>
      <c r="H428" s="204"/>
      <c r="I428" s="637"/>
      <c r="J428" s="394">
        <f>SUM(J429:J429)</f>
        <v>7249.1940000000004</v>
      </c>
      <c r="K428" s="534"/>
    </row>
    <row r="429" spans="1:25">
      <c r="A429" s="397" t="s">
        <v>337</v>
      </c>
      <c r="B429" s="1313" t="s">
        <v>334</v>
      </c>
      <c r="C429" s="1314"/>
      <c r="D429" s="1314"/>
      <c r="E429" s="1314"/>
      <c r="F429" s="1315"/>
      <c r="G429" s="201">
        <v>15.63</v>
      </c>
      <c r="H429" s="186" t="s">
        <v>92</v>
      </c>
      <c r="I429" s="196">
        <v>463.8</v>
      </c>
      <c r="J429" s="390">
        <f>G429*I429</f>
        <v>7249.1940000000004</v>
      </c>
      <c r="K429" s="584"/>
      <c r="L429" s="786" t="s">
        <v>461</v>
      </c>
    </row>
    <row r="430" spans="1:25">
      <c r="A430" s="412"/>
      <c r="B430" s="879"/>
      <c r="C430" s="880"/>
      <c r="D430" s="880"/>
      <c r="E430" s="880"/>
      <c r="F430" s="881"/>
      <c r="G430" s="201"/>
      <c r="H430" s="186"/>
      <c r="I430" s="196"/>
      <c r="J430" s="390"/>
      <c r="K430" s="584"/>
    </row>
    <row r="431" spans="1:25" ht="13.15" customHeight="1">
      <c r="A431" s="417"/>
      <c r="B431" s="1316" t="s">
        <v>311</v>
      </c>
      <c r="C431" s="1317"/>
      <c r="D431" s="1317"/>
      <c r="E431" s="1317"/>
      <c r="F431" s="1318"/>
      <c r="G431" s="182"/>
      <c r="H431" s="189"/>
      <c r="I431" s="638"/>
      <c r="J431" s="542">
        <f>SUM(J432+J436+J438)</f>
        <v>10738.2876</v>
      </c>
      <c r="K431" s="614"/>
    </row>
    <row r="432" spans="1:25" ht="12" customHeight="1">
      <c r="A432" s="380">
        <v>3</v>
      </c>
      <c r="B432" s="1301" t="s">
        <v>315</v>
      </c>
      <c r="C432" s="1302"/>
      <c r="D432" s="1302"/>
      <c r="E432" s="1302"/>
      <c r="F432" s="1303"/>
      <c r="G432" s="182"/>
      <c r="H432" s="189"/>
      <c r="I432" s="637"/>
      <c r="J432" s="384">
        <f>SUM(J433:J435)</f>
        <v>3219.8576000000003</v>
      </c>
      <c r="K432" s="534"/>
    </row>
    <row r="433" spans="1:12" ht="29.45" customHeight="1">
      <c r="A433" s="385" t="s">
        <v>54</v>
      </c>
      <c r="B433" s="1330" t="s">
        <v>93</v>
      </c>
      <c r="C433" s="1330"/>
      <c r="D433" s="1330"/>
      <c r="E433" s="1330"/>
      <c r="F433" s="1330"/>
      <c r="G433" s="205">
        <f>21.42+84.82</f>
        <v>106.24</v>
      </c>
      <c r="H433" s="894" t="s">
        <v>96</v>
      </c>
      <c r="I433" s="529">
        <f>SUM(I423)</f>
        <v>1.49</v>
      </c>
      <c r="J433" s="395">
        <f>SUM(G433*I433)+0.04</f>
        <v>158.33759999999998</v>
      </c>
      <c r="K433" s="584"/>
      <c r="L433" s="786" t="s">
        <v>460</v>
      </c>
    </row>
    <row r="434" spans="1:12">
      <c r="A434" s="385" t="s">
        <v>95</v>
      </c>
      <c r="B434" s="1331" t="s">
        <v>94</v>
      </c>
      <c r="C434" s="1332"/>
      <c r="D434" s="1332"/>
      <c r="E434" s="1332"/>
      <c r="F434" s="1333"/>
      <c r="G434" s="205">
        <f>1.29+5.09</f>
        <v>6.38</v>
      </c>
      <c r="H434" s="894" t="s">
        <v>92</v>
      </c>
      <c r="I434" s="529">
        <v>201.99</v>
      </c>
      <c r="J434" s="395">
        <f>ROUND(G434*I434,2)</f>
        <v>1288.7</v>
      </c>
      <c r="K434" s="584"/>
      <c r="L434" s="786" t="s">
        <v>460</v>
      </c>
    </row>
    <row r="435" spans="1:12">
      <c r="A435" s="906" t="s">
        <v>97</v>
      </c>
      <c r="B435" s="1291" t="s">
        <v>370</v>
      </c>
      <c r="C435" s="1292"/>
      <c r="D435" s="1292"/>
      <c r="E435" s="1292"/>
      <c r="F435" s="1334"/>
      <c r="G435" s="300">
        <f>41.18+84.82</f>
        <v>126</v>
      </c>
      <c r="H435" s="894" t="s">
        <v>96</v>
      </c>
      <c r="I435" s="529">
        <v>14.07</v>
      </c>
      <c r="J435" s="515">
        <f>G435*I435</f>
        <v>1772.82</v>
      </c>
      <c r="K435" s="621"/>
      <c r="L435" s="786" t="s">
        <v>461</v>
      </c>
    </row>
    <row r="436" spans="1:12" ht="13.15" customHeight="1">
      <c r="A436" s="380">
        <v>8</v>
      </c>
      <c r="B436" s="1322" t="s">
        <v>116</v>
      </c>
      <c r="C436" s="1322"/>
      <c r="D436" s="1322"/>
      <c r="E436" s="1322"/>
      <c r="F436" s="1322"/>
      <c r="G436" s="182"/>
      <c r="H436" s="189"/>
      <c r="I436" s="638"/>
      <c r="J436" s="384">
        <f>J437</f>
        <v>1319.32</v>
      </c>
      <c r="K436" s="534"/>
    </row>
    <row r="437" spans="1:12" ht="24.75" customHeight="1">
      <c r="A437" s="397" t="s">
        <v>335</v>
      </c>
      <c r="B437" s="1313" t="s">
        <v>336</v>
      </c>
      <c r="C437" s="1314"/>
      <c r="D437" s="1314"/>
      <c r="E437" s="1314"/>
      <c r="F437" s="1315"/>
      <c r="G437" s="201">
        <v>1</v>
      </c>
      <c r="H437" s="186" t="s">
        <v>80</v>
      </c>
      <c r="I437" s="659">
        <v>1319.32</v>
      </c>
      <c r="J437" s="390">
        <f>ROUND(G437*I437,2)</f>
        <v>1319.32</v>
      </c>
      <c r="K437" s="584"/>
      <c r="L437" s="786" t="s">
        <v>461</v>
      </c>
    </row>
    <row r="438" spans="1:12" ht="12.6" customHeight="1">
      <c r="A438" s="439">
        <v>11</v>
      </c>
      <c r="B438" s="1310" t="s">
        <v>195</v>
      </c>
      <c r="C438" s="1311"/>
      <c r="D438" s="1311"/>
      <c r="E438" s="1311"/>
      <c r="F438" s="1312"/>
      <c r="G438" s="182"/>
      <c r="H438" s="189"/>
      <c r="I438" s="638"/>
      <c r="J438" s="384">
        <f>SUM(J439:J440)</f>
        <v>6199.1100000000006</v>
      </c>
      <c r="K438" s="534"/>
    </row>
    <row r="439" spans="1:12">
      <c r="A439" s="397" t="s">
        <v>343</v>
      </c>
      <c r="B439" s="1313" t="s">
        <v>344</v>
      </c>
      <c r="C439" s="1314"/>
      <c r="D439" s="1314"/>
      <c r="E439" s="1314"/>
      <c r="F439" s="1315"/>
      <c r="G439" s="201">
        <f>6+3</f>
        <v>9</v>
      </c>
      <c r="H439" s="186" t="s">
        <v>96</v>
      </c>
      <c r="I439" s="659">
        <v>629.51</v>
      </c>
      <c r="J439" s="390">
        <f>ROUND(G439*I439,2)</f>
        <v>5665.59</v>
      </c>
      <c r="K439" s="584"/>
      <c r="L439" s="786" t="s">
        <v>461</v>
      </c>
    </row>
    <row r="440" spans="1:12" ht="18.600000000000001" customHeight="1">
      <c r="A440" s="412" t="s">
        <v>368</v>
      </c>
      <c r="B440" s="1313" t="s">
        <v>369</v>
      </c>
      <c r="C440" s="1314"/>
      <c r="D440" s="1314"/>
      <c r="E440" s="1314"/>
      <c r="F440" s="1315"/>
      <c r="G440" s="201">
        <v>18</v>
      </c>
      <c r="H440" s="186" t="s">
        <v>96</v>
      </c>
      <c r="I440" s="660">
        <v>29.64</v>
      </c>
      <c r="J440" s="390">
        <f>G440*I440</f>
        <v>533.52</v>
      </c>
      <c r="K440" s="584"/>
      <c r="L440" s="786" t="s">
        <v>461</v>
      </c>
    </row>
    <row r="441" spans="1:12" ht="13.15" customHeight="1">
      <c r="A441" s="417"/>
      <c r="B441" s="1316" t="s">
        <v>348</v>
      </c>
      <c r="C441" s="1317"/>
      <c r="D441" s="1317"/>
      <c r="E441" s="1317"/>
      <c r="F441" s="1318"/>
      <c r="G441" s="182"/>
      <c r="H441" s="189"/>
      <c r="I441" s="637"/>
      <c r="J441" s="384">
        <f>SUM(J442+J448+J455+J458)-2</f>
        <v>27196.362591999998</v>
      </c>
      <c r="K441" s="534"/>
    </row>
    <row r="442" spans="1:12" ht="13.15" customHeight="1">
      <c r="A442" s="380">
        <v>1</v>
      </c>
      <c r="B442" s="1301" t="s">
        <v>91</v>
      </c>
      <c r="C442" s="1302"/>
      <c r="D442" s="1302"/>
      <c r="E442" s="1302"/>
      <c r="F442" s="1303"/>
      <c r="G442" s="221"/>
      <c r="H442" s="222"/>
      <c r="I442" s="648"/>
      <c r="J442" s="419">
        <f>SUM(J443:J447)-0.01</f>
        <v>5600.4325919999992</v>
      </c>
      <c r="K442" s="615"/>
    </row>
    <row r="443" spans="1:12">
      <c r="A443" s="397" t="s">
        <v>37</v>
      </c>
      <c r="B443" s="1313" t="s">
        <v>85</v>
      </c>
      <c r="C443" s="1314"/>
      <c r="D443" s="1314"/>
      <c r="E443" s="1314"/>
      <c r="F443" s="1315"/>
      <c r="G443" s="201">
        <f>1.8+1.46+1.18</f>
        <v>4.4399999999999995</v>
      </c>
      <c r="H443" s="186" t="s">
        <v>92</v>
      </c>
      <c r="I443" s="529">
        <f>SUM(I191)</f>
        <v>28.566000000000003</v>
      </c>
      <c r="J443" s="390">
        <f>G443*I443</f>
        <v>126.83304</v>
      </c>
      <c r="K443" s="584"/>
      <c r="L443" s="786" t="s">
        <v>460</v>
      </c>
    </row>
    <row r="444" spans="1:12">
      <c r="A444" s="397" t="s">
        <v>39</v>
      </c>
      <c r="B444" s="1319" t="s">
        <v>49</v>
      </c>
      <c r="C444" s="1320"/>
      <c r="D444" s="1320"/>
      <c r="E444" s="1320"/>
      <c r="F444" s="1321"/>
      <c r="G444" s="201">
        <f>32+36</f>
        <v>68</v>
      </c>
      <c r="H444" s="186" t="s">
        <v>52</v>
      </c>
      <c r="I444" s="529">
        <f>I155</f>
        <v>33.129199999999997</v>
      </c>
      <c r="J444" s="390">
        <f>G444*I444</f>
        <v>2252.7855999999997</v>
      </c>
      <c r="K444" s="584"/>
      <c r="L444" s="786" t="s">
        <v>460</v>
      </c>
    </row>
    <row r="445" spans="1:12">
      <c r="A445" s="397" t="s">
        <v>345</v>
      </c>
      <c r="B445" s="919" t="s">
        <v>87</v>
      </c>
      <c r="C445" s="880"/>
      <c r="D445" s="880"/>
      <c r="E445" s="880"/>
      <c r="F445" s="881"/>
      <c r="G445" s="201">
        <f>162+131.4+106.2</f>
        <v>399.59999999999997</v>
      </c>
      <c r="H445" s="186" t="s">
        <v>50</v>
      </c>
      <c r="I445" s="529">
        <f>I194</f>
        <v>4.6092000000000004</v>
      </c>
      <c r="J445" s="390">
        <f>G445*I445</f>
        <v>1841.8363200000001</v>
      </c>
      <c r="K445" s="584"/>
      <c r="L445" s="786" t="s">
        <v>460</v>
      </c>
    </row>
    <row r="446" spans="1:12">
      <c r="A446" s="397" t="s">
        <v>347</v>
      </c>
      <c r="B446" s="243" t="s">
        <v>89</v>
      </c>
      <c r="C446" s="880"/>
      <c r="D446" s="880"/>
      <c r="E446" s="880"/>
      <c r="F446" s="881"/>
      <c r="G446" s="201">
        <f>1.8+1.46+1.18</f>
        <v>4.4399999999999995</v>
      </c>
      <c r="H446" s="186" t="s">
        <v>92</v>
      </c>
      <c r="I446" s="529">
        <f>I195</f>
        <v>230.39560000000003</v>
      </c>
      <c r="J446" s="390">
        <f>G446*I446</f>
        <v>1022.956464</v>
      </c>
      <c r="K446" s="584"/>
      <c r="L446" s="786" t="s">
        <v>460</v>
      </c>
    </row>
    <row r="447" spans="1:12">
      <c r="A447" s="397" t="s">
        <v>349</v>
      </c>
      <c r="B447" s="919" t="s">
        <v>90</v>
      </c>
      <c r="C447" s="880"/>
      <c r="D447" s="880"/>
      <c r="E447" s="880"/>
      <c r="F447" s="881"/>
      <c r="G447" s="201">
        <f>1.8+1.46+1.18</f>
        <v>4.4399999999999995</v>
      </c>
      <c r="H447" s="186" t="s">
        <v>92</v>
      </c>
      <c r="I447" s="529">
        <f>I196</f>
        <v>80.187200000000004</v>
      </c>
      <c r="J447" s="390">
        <f>G447*I447</f>
        <v>356.03116799999998</v>
      </c>
      <c r="K447" s="584"/>
      <c r="L447" s="786" t="s">
        <v>460</v>
      </c>
    </row>
    <row r="448" spans="1:12" ht="13.9" customHeight="1">
      <c r="A448" s="380">
        <v>2</v>
      </c>
      <c r="B448" s="1301" t="s">
        <v>351</v>
      </c>
      <c r="C448" s="1302"/>
      <c r="D448" s="1302"/>
      <c r="E448" s="1302"/>
      <c r="F448" s="1303"/>
      <c r="G448" s="221"/>
      <c r="H448" s="222"/>
      <c r="I448" s="648"/>
      <c r="J448" s="419">
        <f>SUM(J449:J454)</f>
        <v>10782.57</v>
      </c>
      <c r="K448" s="615"/>
    </row>
    <row r="449" spans="1:12">
      <c r="A449" s="397" t="s">
        <v>84</v>
      </c>
      <c r="B449" s="1313" t="s">
        <v>352</v>
      </c>
      <c r="C449" s="1314"/>
      <c r="D449" s="1314"/>
      <c r="E449" s="1314"/>
      <c r="F449" s="1315"/>
      <c r="G449" s="244">
        <v>0.45</v>
      </c>
      <c r="H449" s="202" t="s">
        <v>92</v>
      </c>
      <c r="I449" s="529">
        <v>48.76</v>
      </c>
      <c r="J449" s="390">
        <f t="shared" ref="J449:J454" si="26">ROUND(G449*I449,2)</f>
        <v>21.94</v>
      </c>
      <c r="K449" s="584"/>
      <c r="L449" s="786" t="s">
        <v>461</v>
      </c>
    </row>
    <row r="450" spans="1:12">
      <c r="A450" s="397" t="s">
        <v>43</v>
      </c>
      <c r="B450" s="883" t="s">
        <v>353</v>
      </c>
      <c r="C450" s="880"/>
      <c r="D450" s="880"/>
      <c r="E450" s="880"/>
      <c r="F450" s="881"/>
      <c r="G450" s="201">
        <f>60-6+48.54+39.46</f>
        <v>142</v>
      </c>
      <c r="H450" s="186" t="s">
        <v>96</v>
      </c>
      <c r="I450" s="529">
        <v>40.9</v>
      </c>
      <c r="J450" s="390">
        <f t="shared" si="26"/>
        <v>5807.8</v>
      </c>
      <c r="K450" s="584"/>
      <c r="L450" s="786" t="s">
        <v>461</v>
      </c>
    </row>
    <row r="451" spans="1:12">
      <c r="A451" s="397" t="s">
        <v>240</v>
      </c>
      <c r="B451" s="883" t="s">
        <v>89</v>
      </c>
      <c r="C451" s="880"/>
      <c r="D451" s="880"/>
      <c r="E451" s="880"/>
      <c r="F451" s="881"/>
      <c r="G451" s="201">
        <f>0.72+0.81</f>
        <v>1.53</v>
      </c>
      <c r="H451" s="186" t="s">
        <v>92</v>
      </c>
      <c r="I451" s="529">
        <f>I195</f>
        <v>230.39560000000003</v>
      </c>
      <c r="J451" s="390">
        <f t="shared" si="26"/>
        <v>352.51</v>
      </c>
      <c r="K451" s="584"/>
      <c r="L451" s="786" t="s">
        <v>460</v>
      </c>
    </row>
    <row r="452" spans="1:12">
      <c r="A452" s="397" t="s">
        <v>45</v>
      </c>
      <c r="B452" s="883" t="s">
        <v>354</v>
      </c>
      <c r="C452" s="880"/>
      <c r="D452" s="880"/>
      <c r="E452" s="880"/>
      <c r="F452" s="881"/>
      <c r="G452" s="201">
        <f>64.8+72.9</f>
        <v>137.69999999999999</v>
      </c>
      <c r="H452" s="186" t="s">
        <v>50</v>
      </c>
      <c r="I452" s="529">
        <f>I194</f>
        <v>4.6092000000000004</v>
      </c>
      <c r="J452" s="390">
        <f t="shared" si="26"/>
        <v>634.69000000000005</v>
      </c>
      <c r="K452" s="584"/>
      <c r="L452" s="786" t="s">
        <v>460</v>
      </c>
    </row>
    <row r="453" spans="1:12">
      <c r="A453" s="397" t="s">
        <v>47</v>
      </c>
      <c r="B453" s="883" t="s">
        <v>321</v>
      </c>
      <c r="C453" s="880"/>
      <c r="D453" s="880"/>
      <c r="E453" s="880"/>
      <c r="F453" s="881"/>
      <c r="G453" s="201">
        <f>0.72+0.81</f>
        <v>1.53</v>
      </c>
      <c r="H453" s="186" t="s">
        <v>92</v>
      </c>
      <c r="I453" s="529">
        <f>I196</f>
        <v>80.187200000000004</v>
      </c>
      <c r="J453" s="390">
        <f t="shared" si="26"/>
        <v>122.69</v>
      </c>
      <c r="K453" s="584"/>
      <c r="L453" s="786" t="s">
        <v>460</v>
      </c>
    </row>
    <row r="454" spans="1:12">
      <c r="A454" s="397" t="s">
        <v>48</v>
      </c>
      <c r="B454" s="883" t="s">
        <v>323</v>
      </c>
      <c r="C454" s="880"/>
      <c r="D454" s="880"/>
      <c r="E454" s="880"/>
      <c r="F454" s="881"/>
      <c r="G454" s="201">
        <f>19.2+21.6</f>
        <v>40.799999999999997</v>
      </c>
      <c r="H454" s="186" t="s">
        <v>96</v>
      </c>
      <c r="I454" s="529">
        <f>I209</f>
        <v>94.189599999999999</v>
      </c>
      <c r="J454" s="390">
        <f t="shared" si="26"/>
        <v>3842.94</v>
      </c>
      <c r="K454" s="584"/>
      <c r="L454" s="786" t="s">
        <v>460</v>
      </c>
    </row>
    <row r="455" spans="1:12">
      <c r="A455" s="380">
        <v>3</v>
      </c>
      <c r="B455" s="1301" t="s">
        <v>208</v>
      </c>
      <c r="C455" s="1302"/>
      <c r="D455" s="1302"/>
      <c r="E455" s="1302"/>
      <c r="F455" s="1303"/>
      <c r="G455" s="221"/>
      <c r="H455" s="222"/>
      <c r="I455" s="648"/>
      <c r="J455" s="419">
        <f>SUM(J456:J457)</f>
        <v>3976.68</v>
      </c>
      <c r="K455" s="615"/>
    </row>
    <row r="456" spans="1:12">
      <c r="A456" s="397" t="s">
        <v>54</v>
      </c>
      <c r="B456" s="883" t="s">
        <v>65</v>
      </c>
      <c r="C456" s="880"/>
      <c r="D456" s="880"/>
      <c r="E456" s="880"/>
      <c r="F456" s="881"/>
      <c r="G456" s="201">
        <v>284</v>
      </c>
      <c r="H456" s="186" t="s">
        <v>96</v>
      </c>
      <c r="I456" s="529">
        <f>I169</f>
        <v>3.5420000000000003</v>
      </c>
      <c r="J456" s="390">
        <f>ROUND(G456*I456,2)</f>
        <v>1005.93</v>
      </c>
      <c r="K456" s="584"/>
      <c r="L456" s="786" t="s">
        <v>460</v>
      </c>
    </row>
    <row r="457" spans="1:12">
      <c r="A457" s="397" t="s">
        <v>95</v>
      </c>
      <c r="B457" s="883" t="s">
        <v>66</v>
      </c>
      <c r="C457" s="880"/>
      <c r="D457" s="880"/>
      <c r="E457" s="880"/>
      <c r="F457" s="881"/>
      <c r="G457" s="201">
        <v>284</v>
      </c>
      <c r="H457" s="186" t="s">
        <v>96</v>
      </c>
      <c r="I457" s="529">
        <f>I170</f>
        <v>10.4604</v>
      </c>
      <c r="J457" s="390">
        <v>2970.75</v>
      </c>
      <c r="K457" s="584"/>
      <c r="L457" s="786" t="s">
        <v>460</v>
      </c>
    </row>
    <row r="458" spans="1:12" ht="12.6" customHeight="1">
      <c r="A458" s="380">
        <v>4</v>
      </c>
      <c r="B458" s="1301" t="s">
        <v>350</v>
      </c>
      <c r="C458" s="1302"/>
      <c r="D458" s="1302"/>
      <c r="E458" s="1302"/>
      <c r="F458" s="1303"/>
      <c r="G458" s="221"/>
      <c r="H458" s="222"/>
      <c r="I458" s="648"/>
      <c r="J458" s="419">
        <f>J459</f>
        <v>6838.6799999999994</v>
      </c>
      <c r="K458" s="615"/>
    </row>
    <row r="459" spans="1:12">
      <c r="A459" s="397" t="s">
        <v>58</v>
      </c>
      <c r="B459" s="883" t="s">
        <v>193</v>
      </c>
      <c r="C459" s="880"/>
      <c r="D459" s="880"/>
      <c r="E459" s="880"/>
      <c r="F459" s="881"/>
      <c r="G459" s="201">
        <v>284</v>
      </c>
      <c r="H459" s="186" t="s">
        <v>96</v>
      </c>
      <c r="I459" s="659">
        <f>I268</f>
        <v>24.08</v>
      </c>
      <c r="J459" s="390">
        <f>SUM(G459*I459)-0.04</f>
        <v>6838.6799999999994</v>
      </c>
      <c r="K459" s="584"/>
      <c r="L459" s="786" t="s">
        <v>460</v>
      </c>
    </row>
    <row r="460" spans="1:12">
      <c r="A460" s="397"/>
      <c r="B460" s="543"/>
      <c r="C460" s="880"/>
      <c r="D460" s="880"/>
      <c r="E460" s="880"/>
      <c r="F460" s="881"/>
      <c r="G460" s="201"/>
      <c r="H460" s="186"/>
      <c r="I460" s="649"/>
      <c r="J460" s="531"/>
      <c r="K460" s="584"/>
    </row>
    <row r="461" spans="1:12">
      <c r="A461" s="1548" t="s">
        <v>21</v>
      </c>
      <c r="B461" s="1549"/>
      <c r="C461" s="1550"/>
      <c r="D461" s="1550"/>
      <c r="E461" s="1550"/>
      <c r="F461" s="1550"/>
      <c r="G461" s="1550"/>
      <c r="H461" s="1550"/>
      <c r="I461" s="652"/>
      <c r="J461" s="571">
        <f>SUM(J420+J431+J441)</f>
        <v>63084.727891999995</v>
      </c>
      <c r="K461" s="616"/>
    </row>
    <row r="462" spans="1:12" ht="14.45" customHeight="1">
      <c r="A462" s="1613" t="s">
        <v>432</v>
      </c>
      <c r="B462" s="1614"/>
      <c r="C462" s="1614"/>
      <c r="D462" s="1614"/>
      <c r="E462" s="1614"/>
      <c r="F462" s="1614"/>
      <c r="G462" s="1614"/>
      <c r="H462" s="1614"/>
      <c r="I462" s="1614"/>
      <c r="J462" s="1615"/>
      <c r="K462" s="501"/>
    </row>
    <row r="463" spans="1:12">
      <c r="A463" s="875"/>
      <c r="B463" s="876"/>
      <c r="C463" s="876"/>
      <c r="D463" s="876"/>
      <c r="E463" s="876"/>
      <c r="F463" s="876"/>
      <c r="G463" s="290"/>
      <c r="H463" s="290"/>
      <c r="I463" s="633"/>
      <c r="J463" s="877"/>
      <c r="K463" s="501"/>
    </row>
    <row r="464" spans="1:12">
      <c r="A464" s="875"/>
      <c r="B464" s="876"/>
      <c r="C464" s="876"/>
      <c r="D464" s="876"/>
      <c r="E464" s="876"/>
      <c r="F464" s="876"/>
      <c r="G464" s="290"/>
      <c r="H464" s="290"/>
      <c r="I464" s="633"/>
      <c r="J464" s="877"/>
      <c r="K464" s="501"/>
    </row>
    <row r="465" spans="1:25">
      <c r="A465" s="875"/>
      <c r="B465" s="876"/>
      <c r="C465" s="876"/>
      <c r="D465" s="876"/>
      <c r="E465" s="876"/>
      <c r="F465" s="876"/>
      <c r="G465" s="290"/>
      <c r="H465" s="290"/>
      <c r="I465" s="633"/>
      <c r="J465" s="877"/>
      <c r="K465" s="501"/>
    </row>
    <row r="466" spans="1:25" s="786" customFormat="1">
      <c r="A466" s="875"/>
      <c r="B466" s="876"/>
      <c r="C466" s="876"/>
      <c r="D466" s="876"/>
      <c r="E466" s="876"/>
      <c r="F466" s="876"/>
      <c r="G466" s="290"/>
      <c r="H466" s="290"/>
      <c r="I466" s="633"/>
      <c r="J466" s="877"/>
      <c r="K466" s="501"/>
      <c r="M466"/>
      <c r="N466"/>
      <c r="O466"/>
      <c r="P466"/>
      <c r="Q466"/>
      <c r="R466"/>
      <c r="S466"/>
      <c r="T466"/>
      <c r="U466"/>
      <c r="V466"/>
      <c r="W466"/>
      <c r="X466"/>
      <c r="Y466"/>
    </row>
    <row r="467" spans="1:25" s="786" customFormat="1">
      <c r="A467" s="1297" t="s">
        <v>379</v>
      </c>
      <c r="B467" s="1298"/>
      <c r="C467" s="1298"/>
      <c r="D467" s="1298"/>
      <c r="E467" s="1298"/>
      <c r="F467" s="1299" t="s">
        <v>296</v>
      </c>
      <c r="G467" s="1299"/>
      <c r="H467" s="1299"/>
      <c r="I467" s="1299"/>
      <c r="J467" s="1300"/>
      <c r="K467" s="617"/>
      <c r="M467"/>
      <c r="N467"/>
      <c r="O467"/>
      <c r="P467"/>
      <c r="Q467"/>
      <c r="R467"/>
      <c r="S467"/>
      <c r="T467"/>
      <c r="U467"/>
      <c r="V467"/>
      <c r="W467"/>
      <c r="X467"/>
      <c r="Y467"/>
    </row>
    <row r="468" spans="1:25" s="786" customFormat="1">
      <c r="A468" s="1297" t="s">
        <v>380</v>
      </c>
      <c r="B468" s="1298"/>
      <c r="C468" s="1298"/>
      <c r="D468" s="1298"/>
      <c r="E468" s="1298"/>
      <c r="F468" s="1299" t="s">
        <v>381</v>
      </c>
      <c r="G468" s="1299"/>
      <c r="H468" s="1299"/>
      <c r="I468" s="1299"/>
      <c r="J468" s="1300"/>
      <c r="K468" s="617"/>
      <c r="M468"/>
      <c r="N468"/>
      <c r="O468"/>
      <c r="P468"/>
      <c r="Q468"/>
      <c r="R468"/>
      <c r="S468"/>
      <c r="T468"/>
      <c r="U468"/>
      <c r="V468"/>
      <c r="W468"/>
      <c r="X468"/>
      <c r="Y468"/>
    </row>
    <row r="469" spans="1:25" s="786" customFormat="1">
      <c r="A469" s="1297" t="s">
        <v>382</v>
      </c>
      <c r="B469" s="1298"/>
      <c r="C469" s="1298"/>
      <c r="D469" s="1298"/>
      <c r="E469" s="1298"/>
      <c r="F469" s="1299" t="s">
        <v>383</v>
      </c>
      <c r="G469" s="1299"/>
      <c r="H469" s="1299"/>
      <c r="I469" s="1299"/>
      <c r="J469" s="1300"/>
      <c r="K469" s="617"/>
      <c r="M469"/>
      <c r="N469"/>
      <c r="O469"/>
      <c r="P469"/>
      <c r="Q469"/>
      <c r="R469"/>
      <c r="S469"/>
      <c r="T469"/>
      <c r="U469"/>
      <c r="V469"/>
      <c r="W469"/>
      <c r="X469"/>
      <c r="Y469"/>
    </row>
    <row r="470" spans="1:25" s="786" customFormat="1" ht="15.75" thickBot="1">
      <c r="A470" s="486"/>
      <c r="B470" s="487"/>
      <c r="C470" s="487"/>
      <c r="D470" s="487"/>
      <c r="E470" s="487"/>
      <c r="F470" s="400"/>
      <c r="G470" s="399"/>
      <c r="H470" s="399"/>
      <c r="I470" s="644"/>
      <c r="J470" s="488"/>
      <c r="K470" s="503"/>
      <c r="M470"/>
      <c r="N470"/>
      <c r="O470"/>
      <c r="P470"/>
      <c r="Q470"/>
      <c r="R470"/>
      <c r="S470"/>
      <c r="T470"/>
      <c r="U470"/>
      <c r="V470"/>
      <c r="W470"/>
      <c r="X470"/>
      <c r="Y470"/>
    </row>
    <row r="471" spans="1:25" s="786" customFormat="1" ht="15.75" thickTop="1">
      <c r="A471" s="308"/>
      <c r="B471" s="308"/>
      <c r="C471" s="308"/>
      <c r="D471" s="308"/>
      <c r="E471" s="308"/>
      <c r="F471" s="308"/>
      <c r="G471" s="251"/>
      <c r="H471" s="251"/>
      <c r="I471" s="658"/>
      <c r="J471" s="308"/>
      <c r="K471" s="619"/>
      <c r="M471"/>
      <c r="N471"/>
      <c r="O471"/>
      <c r="P471"/>
      <c r="Q471"/>
      <c r="R471"/>
      <c r="S471"/>
      <c r="T471"/>
      <c r="U471"/>
      <c r="V471"/>
      <c r="W471"/>
      <c r="X471"/>
      <c r="Y471"/>
    </row>
    <row r="472" spans="1:25" s="786" customFormat="1">
      <c r="A472" s="308"/>
      <c r="B472" s="308"/>
      <c r="C472" s="308"/>
      <c r="D472" s="308"/>
      <c r="E472" s="308"/>
      <c r="F472" s="308"/>
      <c r="G472" s="251"/>
      <c r="H472" s="251"/>
      <c r="I472" s="658"/>
      <c r="J472" s="308"/>
      <c r="K472" s="619"/>
      <c r="M472"/>
      <c r="N472"/>
      <c r="O472"/>
      <c r="P472"/>
      <c r="Q472"/>
      <c r="R472"/>
      <c r="S472"/>
      <c r="T472"/>
      <c r="U472"/>
      <c r="V472"/>
      <c r="W472"/>
      <c r="X472"/>
      <c r="Y472"/>
    </row>
  </sheetData>
  <mergeCells count="417">
    <mergeCell ref="A8:J8"/>
    <mergeCell ref="A9:J11"/>
    <mergeCell ref="A12:J12"/>
    <mergeCell ref="A13:J13"/>
    <mergeCell ref="A14:J14"/>
    <mergeCell ref="A15:J15"/>
    <mergeCell ref="A23:B23"/>
    <mergeCell ref="C23:D23"/>
    <mergeCell ref="E23:G23"/>
    <mergeCell ref="H23:J23"/>
    <mergeCell ref="A25:J25"/>
    <mergeCell ref="A26:F26"/>
    <mergeCell ref="G26:H26"/>
    <mergeCell ref="I26:J26"/>
    <mergeCell ref="A17:J17"/>
    <mergeCell ref="A18:J18"/>
    <mergeCell ref="A20:J20"/>
    <mergeCell ref="A21:J21"/>
    <mergeCell ref="A22:C22"/>
    <mergeCell ref="D22:H22"/>
    <mergeCell ref="I22:J22"/>
    <mergeCell ref="A32:D32"/>
    <mergeCell ref="E32:G32"/>
    <mergeCell ref="H32:J32"/>
    <mergeCell ref="C33:D33"/>
    <mergeCell ref="E33:F33"/>
    <mergeCell ref="G33:J33"/>
    <mergeCell ref="A27:F27"/>
    <mergeCell ref="G27:J27"/>
    <mergeCell ref="A28:F28"/>
    <mergeCell ref="G28:J28"/>
    <mergeCell ref="A30:J30"/>
    <mergeCell ref="A31:F31"/>
    <mergeCell ref="G31:H31"/>
    <mergeCell ref="I31:J31"/>
    <mergeCell ref="A42:J42"/>
    <mergeCell ref="A43:J43"/>
    <mergeCell ref="A44:C44"/>
    <mergeCell ref="A45:A46"/>
    <mergeCell ref="B45:C45"/>
    <mergeCell ref="D45:J45"/>
    <mergeCell ref="B46:C46"/>
    <mergeCell ref="D46:J46"/>
    <mergeCell ref="A35:J35"/>
    <mergeCell ref="A36:J36"/>
    <mergeCell ref="A37:J37"/>
    <mergeCell ref="A39:J39"/>
    <mergeCell ref="A40:J40"/>
    <mergeCell ref="A41:J41"/>
    <mergeCell ref="B51:C51"/>
    <mergeCell ref="D51:J51"/>
    <mergeCell ref="B52:C52"/>
    <mergeCell ref="D52:J52"/>
    <mergeCell ref="B53:C53"/>
    <mergeCell ref="D53:J53"/>
    <mergeCell ref="A47:J47"/>
    <mergeCell ref="B48:C48"/>
    <mergeCell ref="D48:J48"/>
    <mergeCell ref="B49:C49"/>
    <mergeCell ref="D49:J49"/>
    <mergeCell ref="B50:C50"/>
    <mergeCell ref="D50:J50"/>
    <mergeCell ref="B61:C61"/>
    <mergeCell ref="D61:J61"/>
    <mergeCell ref="B62:C62"/>
    <mergeCell ref="D62:J62"/>
    <mergeCell ref="B63:C63"/>
    <mergeCell ref="D63:J63"/>
    <mergeCell ref="B57:C57"/>
    <mergeCell ref="B58:C58"/>
    <mergeCell ref="D58:J58"/>
    <mergeCell ref="B59:C59"/>
    <mergeCell ref="D59:J59"/>
    <mergeCell ref="B60:C60"/>
    <mergeCell ref="D60:J60"/>
    <mergeCell ref="B74:C74"/>
    <mergeCell ref="D74:J74"/>
    <mergeCell ref="B75:C75"/>
    <mergeCell ref="D75:J75"/>
    <mergeCell ref="B76:C76"/>
    <mergeCell ref="D76:J76"/>
    <mergeCell ref="B64:C64"/>
    <mergeCell ref="D64:J64"/>
    <mergeCell ref="B72:C72"/>
    <mergeCell ref="D72:J72"/>
    <mergeCell ref="B73:C73"/>
    <mergeCell ref="D73:J73"/>
    <mergeCell ref="B80:C80"/>
    <mergeCell ref="D80:J80"/>
    <mergeCell ref="B81:C81"/>
    <mergeCell ref="D81:J81"/>
    <mergeCell ref="B82:C82"/>
    <mergeCell ref="D82:J82"/>
    <mergeCell ref="B77:C77"/>
    <mergeCell ref="D77:J77"/>
    <mergeCell ref="B78:C78"/>
    <mergeCell ref="D78:J78"/>
    <mergeCell ref="B79:C79"/>
    <mergeCell ref="D79:J79"/>
    <mergeCell ref="B89:C89"/>
    <mergeCell ref="D89:J89"/>
    <mergeCell ref="B90:C90"/>
    <mergeCell ref="D90:J90"/>
    <mergeCell ref="B91:C91"/>
    <mergeCell ref="D91:J91"/>
    <mergeCell ref="A85:J85"/>
    <mergeCell ref="B86:C86"/>
    <mergeCell ref="D86:J86"/>
    <mergeCell ref="B87:C87"/>
    <mergeCell ref="D87:J87"/>
    <mergeCell ref="B88:C88"/>
    <mergeCell ref="D88:J88"/>
    <mergeCell ref="B95:C95"/>
    <mergeCell ref="D95:J95"/>
    <mergeCell ref="B96:C96"/>
    <mergeCell ref="D96:J96"/>
    <mergeCell ref="B97:C97"/>
    <mergeCell ref="D97:J97"/>
    <mergeCell ref="B92:C92"/>
    <mergeCell ref="D92:J92"/>
    <mergeCell ref="B93:C93"/>
    <mergeCell ref="D93:J93"/>
    <mergeCell ref="B94:C94"/>
    <mergeCell ref="D94:J94"/>
    <mergeCell ref="B104:C104"/>
    <mergeCell ref="D104:J104"/>
    <mergeCell ref="B105:C105"/>
    <mergeCell ref="D105:J105"/>
    <mergeCell ref="B106:C106"/>
    <mergeCell ref="D106:J106"/>
    <mergeCell ref="B98:C98"/>
    <mergeCell ref="D98:J98"/>
    <mergeCell ref="B99:C99"/>
    <mergeCell ref="D99:J99"/>
    <mergeCell ref="B103:C103"/>
    <mergeCell ref="D103:J103"/>
    <mergeCell ref="B110:C110"/>
    <mergeCell ref="D110:J110"/>
    <mergeCell ref="B111:C111"/>
    <mergeCell ref="D111:J111"/>
    <mergeCell ref="B112:C112"/>
    <mergeCell ref="D112:J112"/>
    <mergeCell ref="B107:C107"/>
    <mergeCell ref="D107:J107"/>
    <mergeCell ref="B108:C108"/>
    <mergeCell ref="D108:J108"/>
    <mergeCell ref="B109:C109"/>
    <mergeCell ref="D109:J109"/>
    <mergeCell ref="B122:C122"/>
    <mergeCell ref="D122:J122"/>
    <mergeCell ref="A126:J126"/>
    <mergeCell ref="B127:C127"/>
    <mergeCell ref="D127:J127"/>
    <mergeCell ref="B128:C128"/>
    <mergeCell ref="D128:J128"/>
    <mergeCell ref="B119:C119"/>
    <mergeCell ref="D119:J119"/>
    <mergeCell ref="B120:C120"/>
    <mergeCell ref="D120:J120"/>
    <mergeCell ref="B121:C121"/>
    <mergeCell ref="D121:J121"/>
    <mergeCell ref="A137:J137"/>
    <mergeCell ref="A138:J138"/>
    <mergeCell ref="A139:J139"/>
    <mergeCell ref="A140:J140"/>
    <mergeCell ref="A141:A142"/>
    <mergeCell ref="B141:F142"/>
    <mergeCell ref="B129:C129"/>
    <mergeCell ref="D129:J129"/>
    <mergeCell ref="B130:C130"/>
    <mergeCell ref="D130:J130"/>
    <mergeCell ref="A135:J135"/>
    <mergeCell ref="A136:J136"/>
    <mergeCell ref="B149:F149"/>
    <mergeCell ref="B150:F150"/>
    <mergeCell ref="B151:F151"/>
    <mergeCell ref="B152:F152"/>
    <mergeCell ref="K152:K155"/>
    <mergeCell ref="B153:F153"/>
    <mergeCell ref="B154:F154"/>
    <mergeCell ref="B155:F155"/>
    <mergeCell ref="B143:F143"/>
    <mergeCell ref="B144:F144"/>
    <mergeCell ref="B145:F145"/>
    <mergeCell ref="B146:F146"/>
    <mergeCell ref="B147:F147"/>
    <mergeCell ref="B148:F148"/>
    <mergeCell ref="B157:F157"/>
    <mergeCell ref="B158:F158"/>
    <mergeCell ref="B159:F159"/>
    <mergeCell ref="B160:F160"/>
    <mergeCell ref="B161:F161"/>
    <mergeCell ref="K161:K165"/>
    <mergeCell ref="B162:F162"/>
    <mergeCell ref="B163:F163"/>
    <mergeCell ref="B164:F164"/>
    <mergeCell ref="B165:F165"/>
    <mergeCell ref="B173:F173"/>
    <mergeCell ref="B174:F174"/>
    <mergeCell ref="B175:F175"/>
    <mergeCell ref="B176:F176"/>
    <mergeCell ref="B177:F177"/>
    <mergeCell ref="B178:F178"/>
    <mergeCell ref="B166:F166"/>
    <mergeCell ref="B168:F168"/>
    <mergeCell ref="B169:F169"/>
    <mergeCell ref="B170:F170"/>
    <mergeCell ref="B171:F171"/>
    <mergeCell ref="B172:F172"/>
    <mergeCell ref="B190:F190"/>
    <mergeCell ref="B191:F191"/>
    <mergeCell ref="K191:K196"/>
    <mergeCell ref="B192:F192"/>
    <mergeCell ref="B199:F199"/>
    <mergeCell ref="B200:F200"/>
    <mergeCell ref="B179:F179"/>
    <mergeCell ref="B181:F181"/>
    <mergeCell ref="B182:F182"/>
    <mergeCell ref="B186:F186"/>
    <mergeCell ref="B187:F187"/>
    <mergeCell ref="B188:F188"/>
    <mergeCell ref="K207:K209"/>
    <mergeCell ref="B208:F208"/>
    <mergeCell ref="B209:F209"/>
    <mergeCell ref="B211:F211"/>
    <mergeCell ref="B212:F212"/>
    <mergeCell ref="B214:F214"/>
    <mergeCell ref="B201:F201"/>
    <mergeCell ref="B202:F202"/>
    <mergeCell ref="B203:F203"/>
    <mergeCell ref="B204:F204"/>
    <mergeCell ref="B206:F206"/>
    <mergeCell ref="B207:F207"/>
    <mergeCell ref="K215:K217"/>
    <mergeCell ref="B217:F217"/>
    <mergeCell ref="B219:F219"/>
    <mergeCell ref="B220:F220"/>
    <mergeCell ref="K220:K224"/>
    <mergeCell ref="B221:F221"/>
    <mergeCell ref="B222:F222"/>
    <mergeCell ref="B223:F223"/>
    <mergeCell ref="B224:F224"/>
    <mergeCell ref="B232:F232"/>
    <mergeCell ref="B233:F233"/>
    <mergeCell ref="B234:F234"/>
    <mergeCell ref="B235:F235"/>
    <mergeCell ref="B236:F236"/>
    <mergeCell ref="B237:F237"/>
    <mergeCell ref="B226:F226"/>
    <mergeCell ref="B227:F227"/>
    <mergeCell ref="B228:F228"/>
    <mergeCell ref="B229:F229"/>
    <mergeCell ref="B230:F230"/>
    <mergeCell ref="B231:F231"/>
    <mergeCell ref="K244:K250"/>
    <mergeCell ref="B245:F245"/>
    <mergeCell ref="B246:F246"/>
    <mergeCell ref="B247:F247"/>
    <mergeCell ref="B248:F248"/>
    <mergeCell ref="B249:F249"/>
    <mergeCell ref="B250:F250"/>
    <mergeCell ref="B238:F238"/>
    <mergeCell ref="B239:F239"/>
    <mergeCell ref="B240:F240"/>
    <mergeCell ref="B241:F241"/>
    <mergeCell ref="B243:F243"/>
    <mergeCell ref="B244:F244"/>
    <mergeCell ref="B258:F258"/>
    <mergeCell ref="B259:F259"/>
    <mergeCell ref="B260:F260"/>
    <mergeCell ref="B261:F261"/>
    <mergeCell ref="B262:F262"/>
    <mergeCell ref="B263:F263"/>
    <mergeCell ref="B253:F253"/>
    <mergeCell ref="B254:F254"/>
    <mergeCell ref="K254:K256"/>
    <mergeCell ref="B255:F255"/>
    <mergeCell ref="B256:F256"/>
    <mergeCell ref="B257:F257"/>
    <mergeCell ref="B272:F272"/>
    <mergeCell ref="B273:F273"/>
    <mergeCell ref="B274:F274"/>
    <mergeCell ref="B275:F275"/>
    <mergeCell ref="B276:F276"/>
    <mergeCell ref="B277:F277"/>
    <mergeCell ref="B264:F264"/>
    <mergeCell ref="B266:F266"/>
    <mergeCell ref="B267:F267"/>
    <mergeCell ref="B268:F268"/>
    <mergeCell ref="B270:F270"/>
    <mergeCell ref="B271:F271"/>
    <mergeCell ref="B287:F287"/>
    <mergeCell ref="B288:F288"/>
    <mergeCell ref="B289:F289"/>
    <mergeCell ref="B290:F290"/>
    <mergeCell ref="B292:F292"/>
    <mergeCell ref="B293:F293"/>
    <mergeCell ref="B278:F278"/>
    <mergeCell ref="B279:F279"/>
    <mergeCell ref="B280:F280"/>
    <mergeCell ref="A284:J284"/>
    <mergeCell ref="B285:F285"/>
    <mergeCell ref="B286:F286"/>
    <mergeCell ref="B305:F305"/>
    <mergeCell ref="A310:H310"/>
    <mergeCell ref="A311:H311"/>
    <mergeCell ref="A312:H312"/>
    <mergeCell ref="A313:H313"/>
    <mergeCell ref="I313:J313"/>
    <mergeCell ref="B294:F294"/>
    <mergeCell ref="B295:F295"/>
    <mergeCell ref="B296:F296"/>
    <mergeCell ref="B297:F297"/>
    <mergeCell ref="B298:F298"/>
    <mergeCell ref="B300:F300"/>
    <mergeCell ref="G320:H320"/>
    <mergeCell ref="J320:J321"/>
    <mergeCell ref="A322:J322"/>
    <mergeCell ref="A314:H314"/>
    <mergeCell ref="A315:H315"/>
    <mergeCell ref="A316:C316"/>
    <mergeCell ref="D316:J316"/>
    <mergeCell ref="A318:J318"/>
    <mergeCell ref="A319:J319"/>
    <mergeCell ref="B323:E323"/>
    <mergeCell ref="B324:E324"/>
    <mergeCell ref="B325:E325"/>
    <mergeCell ref="B326:E326"/>
    <mergeCell ref="B327:E327"/>
    <mergeCell ref="B328:E328"/>
    <mergeCell ref="A320:A321"/>
    <mergeCell ref="B320:E321"/>
    <mergeCell ref="F320:F321"/>
    <mergeCell ref="B337:E337"/>
    <mergeCell ref="B338:E338"/>
    <mergeCell ref="B339:E339"/>
    <mergeCell ref="B340:E340"/>
    <mergeCell ref="B341:E341"/>
    <mergeCell ref="B344:E344"/>
    <mergeCell ref="B331:E331"/>
    <mergeCell ref="B332:E332"/>
    <mergeCell ref="B333:E333"/>
    <mergeCell ref="B334:E334"/>
    <mergeCell ref="B335:E335"/>
    <mergeCell ref="B336:E336"/>
    <mergeCell ref="A353:E353"/>
    <mergeCell ref="F353:J353"/>
    <mergeCell ref="A354:E354"/>
    <mergeCell ref="F354:J354"/>
    <mergeCell ref="A355:E355"/>
    <mergeCell ref="F355:J355"/>
    <mergeCell ref="B345:E345"/>
    <mergeCell ref="B346:E346"/>
    <mergeCell ref="B347:E347"/>
    <mergeCell ref="A349:F349"/>
    <mergeCell ref="A350:F350"/>
    <mergeCell ref="A352:J352"/>
    <mergeCell ref="A359:E359"/>
    <mergeCell ref="F359:J359"/>
    <mergeCell ref="A361:J361"/>
    <mergeCell ref="A366:J366"/>
    <mergeCell ref="A367:J367"/>
    <mergeCell ref="A369:J369"/>
    <mergeCell ref="A356:E356"/>
    <mergeCell ref="F356:J356"/>
    <mergeCell ref="A357:E357"/>
    <mergeCell ref="F357:J357"/>
    <mergeCell ref="A358:E358"/>
    <mergeCell ref="F358:J358"/>
    <mergeCell ref="A383:E383"/>
    <mergeCell ref="F383:J383"/>
    <mergeCell ref="A384:E384"/>
    <mergeCell ref="F384:J384"/>
    <mergeCell ref="A418:J418"/>
    <mergeCell ref="B419:F419"/>
    <mergeCell ref="A370:J370"/>
    <mergeCell ref="A371:J371"/>
    <mergeCell ref="A373:J373"/>
    <mergeCell ref="A374:J374"/>
    <mergeCell ref="A382:E382"/>
    <mergeCell ref="F382:J382"/>
    <mergeCell ref="B426:F426"/>
    <mergeCell ref="B427:F427"/>
    <mergeCell ref="B428:F428"/>
    <mergeCell ref="B429:F429"/>
    <mergeCell ref="B431:F431"/>
    <mergeCell ref="B432:F432"/>
    <mergeCell ref="B420:F420"/>
    <mergeCell ref="B421:F421"/>
    <mergeCell ref="B422:F422"/>
    <mergeCell ref="B423:F423"/>
    <mergeCell ref="B424:F424"/>
    <mergeCell ref="B425:F425"/>
    <mergeCell ref="B439:F439"/>
    <mergeCell ref="B440:F440"/>
    <mergeCell ref="B441:F441"/>
    <mergeCell ref="B442:F442"/>
    <mergeCell ref="B443:F443"/>
    <mergeCell ref="B444:F444"/>
    <mergeCell ref="B433:F433"/>
    <mergeCell ref="B434:F434"/>
    <mergeCell ref="B435:F435"/>
    <mergeCell ref="B436:F436"/>
    <mergeCell ref="B437:F437"/>
    <mergeCell ref="B438:F438"/>
    <mergeCell ref="A467:E467"/>
    <mergeCell ref="F467:J467"/>
    <mergeCell ref="A468:E468"/>
    <mergeCell ref="F468:J468"/>
    <mergeCell ref="A469:E469"/>
    <mergeCell ref="F469:J469"/>
    <mergeCell ref="B448:F448"/>
    <mergeCell ref="B449:F449"/>
    <mergeCell ref="B455:F455"/>
    <mergeCell ref="B458:F458"/>
    <mergeCell ref="A461:H461"/>
    <mergeCell ref="A462:J462"/>
  </mergeCells>
  <hyperlinks>
    <hyperlink ref="G28" r:id="rId1"/>
  </hyperlinks>
  <pageMargins left="0.78740157480314965" right="0.74803149606299213" top="0.19685039370078741" bottom="1.0629921259842521" header="0.31496062992125984" footer="0.31496062992125984"/>
  <pageSetup paperSize="9" scale="53" orientation="portrait" verticalDpi="4294967293" r:id="rId2"/>
  <headerFooter>
    <oddFooter>&amp;R&amp;G</oddFooter>
  </headerFooter>
  <rowBreaks count="1" manualBreakCount="1">
    <brk id="417" max="16383" man="1"/>
  </rowBreaks>
  <drawing r:id="rId3"/>
  <legacyDrawingHF r:id="rId4"/>
</worksheet>
</file>

<file path=xl/worksheets/sheet5.xml><?xml version="1.0" encoding="utf-8"?>
<worksheet xmlns="http://schemas.openxmlformats.org/spreadsheetml/2006/main" xmlns:r="http://schemas.openxmlformats.org/officeDocument/2006/relationships">
  <dimension ref="A1:Z448"/>
  <sheetViews>
    <sheetView tabSelected="1" view="pageBreakPreview" topLeftCell="A274" zoomScaleNormal="110" zoomScaleSheetLayoutView="100" workbookViewId="0">
      <selection activeCell="A292" sqref="A292:C292"/>
    </sheetView>
  </sheetViews>
  <sheetFormatPr defaultRowHeight="15.75"/>
  <cols>
    <col min="1" max="1" width="5.85546875" style="309" customWidth="1"/>
    <col min="2" max="2" width="10.5703125" style="309" customWidth="1"/>
    <col min="3" max="3" width="17" style="309" customWidth="1"/>
    <col min="4" max="4" width="9.140625" style="309"/>
    <col min="5" max="5" width="15" style="309" customWidth="1"/>
    <col min="6" max="6" width="7.7109375" style="309" customWidth="1"/>
    <col min="7" max="7" width="11.85546875" style="57" customWidth="1"/>
    <col min="8" max="8" width="10.42578125" style="57" customWidth="1"/>
    <col min="9" max="9" width="13.85546875" style="625" customWidth="1"/>
    <col min="10" max="10" width="13.28515625" style="309" customWidth="1"/>
    <col min="11" max="11" width="16.85546875" style="1104" customWidth="1"/>
    <col min="12" max="12" width="23.42578125" style="602" customWidth="1"/>
    <col min="13" max="13" width="15.7109375" style="786" customWidth="1"/>
    <col min="14" max="14" width="14.5703125" customWidth="1"/>
    <col min="15" max="15" width="12.5703125" bestFit="1" customWidth="1"/>
    <col min="16" max="16" width="10.5703125" customWidth="1"/>
  </cols>
  <sheetData>
    <row r="1" spans="1:26" ht="8.4499999999999993" customHeight="1"/>
    <row r="2" spans="1:26" s="545" customFormat="1" ht="22.15" customHeight="1">
      <c r="A2" s="544"/>
      <c r="D2" s="546"/>
      <c r="E2" s="546"/>
      <c r="F2" s="546"/>
      <c r="G2" s="546"/>
      <c r="H2" s="546"/>
      <c r="I2" s="626"/>
      <c r="J2" s="547" t="s">
        <v>428</v>
      </c>
      <c r="K2" s="1105"/>
      <c r="L2" s="603"/>
      <c r="M2" s="787"/>
      <c r="N2" s="546"/>
      <c r="O2" s="546"/>
      <c r="P2" s="546"/>
      <c r="Q2" s="546"/>
      <c r="R2" s="546"/>
      <c r="S2" s="546"/>
      <c r="T2" s="546"/>
      <c r="U2" s="546"/>
      <c r="V2" s="546"/>
      <c r="W2" s="546"/>
      <c r="X2" s="546"/>
      <c r="Y2" s="546"/>
      <c r="Z2" s="546"/>
    </row>
    <row r="3" spans="1:26" s="545" customFormat="1" ht="22.15" customHeight="1">
      <c r="A3" s="544"/>
      <c r="D3" s="546"/>
      <c r="E3" s="546"/>
      <c r="F3" s="546"/>
      <c r="G3" s="546"/>
      <c r="H3" s="546"/>
      <c r="I3" s="626"/>
      <c r="J3" s="547" t="s">
        <v>429</v>
      </c>
      <c r="K3" s="1105"/>
      <c r="L3" s="603"/>
      <c r="M3" s="787"/>
      <c r="N3" s="546"/>
      <c r="O3" s="546"/>
      <c r="P3" s="546"/>
      <c r="Q3" s="546"/>
      <c r="R3" s="546"/>
      <c r="S3" s="546"/>
      <c r="T3" s="546"/>
      <c r="U3" s="546"/>
      <c r="V3" s="546"/>
      <c r="W3" s="546"/>
      <c r="X3" s="546"/>
      <c r="Y3" s="546"/>
      <c r="Z3" s="546"/>
    </row>
    <row r="4" spans="1:26" s="545" customFormat="1" ht="22.15" customHeight="1">
      <c r="A4" s="544"/>
      <c r="D4" s="546"/>
      <c r="E4" s="546"/>
      <c r="F4" s="546"/>
      <c r="G4" s="546"/>
      <c r="H4" s="546"/>
      <c r="I4" s="626"/>
      <c r="J4" s="547" t="s">
        <v>430</v>
      </c>
      <c r="K4" s="1105"/>
      <c r="L4" s="603"/>
      <c r="M4" s="787"/>
      <c r="N4" s="546"/>
      <c r="O4" s="546"/>
      <c r="P4" s="546"/>
      <c r="Q4" s="546"/>
      <c r="R4" s="546"/>
      <c r="S4" s="546"/>
      <c r="T4" s="546"/>
      <c r="U4" s="546"/>
      <c r="V4" s="546"/>
      <c r="W4" s="546"/>
      <c r="X4" s="546"/>
      <c r="Y4" s="546"/>
      <c r="Z4" s="546"/>
    </row>
    <row r="5" spans="1:26" s="545" customFormat="1" ht="18" customHeight="1">
      <c r="A5" s="544"/>
      <c r="D5" s="546"/>
      <c r="E5" s="546"/>
      <c r="F5" s="546"/>
      <c r="G5" s="546"/>
      <c r="H5" s="546"/>
      <c r="I5" s="626"/>
      <c r="J5" s="548"/>
      <c r="K5" s="1105"/>
      <c r="L5" s="604"/>
      <c r="M5" s="787"/>
      <c r="N5" s="546"/>
      <c r="O5" s="546"/>
      <c r="P5" s="546"/>
      <c r="Q5" s="546"/>
      <c r="R5" s="546"/>
      <c r="S5" s="546"/>
      <c r="T5" s="546"/>
      <c r="U5" s="546"/>
      <c r="V5" s="546"/>
      <c r="W5" s="546"/>
      <c r="X5" s="546"/>
      <c r="Y5" s="546"/>
      <c r="Z5" s="546"/>
    </row>
    <row r="6" spans="1:26" s="545" customFormat="1" ht="10.9" customHeight="1" thickBot="1">
      <c r="A6" s="544"/>
      <c r="D6" s="546"/>
      <c r="E6" s="546"/>
      <c r="F6" s="546"/>
      <c r="G6" s="546"/>
      <c r="H6" s="546"/>
      <c r="I6" s="626"/>
      <c r="J6" s="548"/>
      <c r="K6" s="1106"/>
      <c r="L6" s="1041"/>
      <c r="M6" s="787"/>
      <c r="N6" s="546"/>
      <c r="O6" s="546"/>
      <c r="P6" s="546"/>
      <c r="Q6" s="546"/>
      <c r="R6" s="546"/>
      <c r="S6" s="546"/>
      <c r="T6" s="546"/>
      <c r="U6" s="546"/>
      <c r="V6" s="546"/>
      <c r="W6" s="546"/>
      <c r="X6" s="546"/>
      <c r="Y6" s="546"/>
      <c r="Z6" s="546"/>
    </row>
    <row r="7" spans="1:26" s="11" customFormat="1" ht="9.75" customHeight="1">
      <c r="A7" s="1203"/>
      <c r="B7" s="1204"/>
      <c r="C7" s="1204"/>
      <c r="D7" s="1204"/>
      <c r="E7" s="1204"/>
      <c r="F7" s="1204"/>
      <c r="G7" s="1205"/>
      <c r="H7" s="1205"/>
      <c r="I7" s="1206"/>
      <c r="J7" s="1207"/>
      <c r="K7" s="1107"/>
      <c r="L7" s="605"/>
      <c r="M7" s="788"/>
    </row>
    <row r="8" spans="1:26" s="11" customFormat="1">
      <c r="A8" s="1766" t="s">
        <v>213</v>
      </c>
      <c r="B8" s="1378"/>
      <c r="C8" s="1378"/>
      <c r="D8" s="1378"/>
      <c r="E8" s="1378"/>
      <c r="F8" s="1378"/>
      <c r="G8" s="1378"/>
      <c r="H8" s="1378"/>
      <c r="I8" s="1378"/>
      <c r="J8" s="1767"/>
      <c r="K8" s="1108"/>
      <c r="L8" s="503"/>
      <c r="M8" s="788"/>
    </row>
    <row r="9" spans="1:26" s="11" customFormat="1" ht="20.25" customHeight="1">
      <c r="A9" s="1723" t="s">
        <v>308</v>
      </c>
      <c r="B9" s="1308"/>
      <c r="C9" s="1308"/>
      <c r="D9" s="1308"/>
      <c r="E9" s="1308"/>
      <c r="F9" s="1308"/>
      <c r="G9" s="1308"/>
      <c r="H9" s="1308"/>
      <c r="I9" s="1308"/>
      <c r="J9" s="1768"/>
      <c r="K9" s="1109"/>
      <c r="L9" s="501"/>
      <c r="M9" s="788"/>
    </row>
    <row r="10" spans="1:26" s="11" customFormat="1" ht="12" customHeight="1">
      <c r="A10" s="1723"/>
      <c r="B10" s="1308"/>
      <c r="C10" s="1308"/>
      <c r="D10" s="1308"/>
      <c r="E10" s="1308"/>
      <c r="F10" s="1308"/>
      <c r="G10" s="1308"/>
      <c r="H10" s="1308"/>
      <c r="I10" s="1308"/>
      <c r="J10" s="1768"/>
      <c r="K10" s="1109"/>
      <c r="L10" s="501"/>
      <c r="M10" s="788"/>
    </row>
    <row r="11" spans="1:26" s="11" customFormat="1" ht="11.25" customHeight="1">
      <c r="A11" s="1723"/>
      <c r="B11" s="1308"/>
      <c r="C11" s="1308"/>
      <c r="D11" s="1308"/>
      <c r="E11" s="1308"/>
      <c r="F11" s="1308"/>
      <c r="G11" s="1308"/>
      <c r="H11" s="1308"/>
      <c r="I11" s="1308"/>
      <c r="J11" s="1768"/>
      <c r="K11" s="1109"/>
      <c r="L11" s="501"/>
      <c r="M11" s="788"/>
    </row>
    <row r="12" spans="1:26" s="11" customFormat="1" ht="17.25" customHeight="1">
      <c r="A12" s="1766" t="s">
        <v>214</v>
      </c>
      <c r="B12" s="1378"/>
      <c r="C12" s="1378"/>
      <c r="D12" s="1378"/>
      <c r="E12" s="1378"/>
      <c r="F12" s="1378"/>
      <c r="G12" s="1378"/>
      <c r="H12" s="1378"/>
      <c r="I12" s="1378"/>
      <c r="J12" s="1767"/>
      <c r="K12" s="1108"/>
      <c r="L12" s="503"/>
      <c r="M12" s="788"/>
    </row>
    <row r="13" spans="1:26" s="11" customFormat="1" ht="12.75" customHeight="1">
      <c r="A13" s="1766" t="s">
        <v>310</v>
      </c>
      <c r="B13" s="1378"/>
      <c r="C13" s="1378"/>
      <c r="D13" s="1378"/>
      <c r="E13" s="1378"/>
      <c r="F13" s="1378"/>
      <c r="G13" s="1378"/>
      <c r="H13" s="1378"/>
      <c r="I13" s="1378"/>
      <c r="J13" s="1767"/>
      <c r="K13" s="1108"/>
      <c r="L13" s="503"/>
      <c r="M13" s="788"/>
    </row>
    <row r="14" spans="1:26" s="11" customFormat="1" ht="16.5" customHeight="1">
      <c r="A14" s="1766" t="s">
        <v>215</v>
      </c>
      <c r="B14" s="1378"/>
      <c r="C14" s="1378"/>
      <c r="D14" s="1378"/>
      <c r="E14" s="1378"/>
      <c r="F14" s="1378"/>
      <c r="G14" s="1378"/>
      <c r="H14" s="1378"/>
      <c r="I14" s="1378"/>
      <c r="J14" s="1767"/>
      <c r="K14" s="1108"/>
      <c r="L14" s="503"/>
      <c r="M14" s="788"/>
    </row>
    <row r="15" spans="1:26" s="11" customFormat="1" ht="16.5" thickBot="1">
      <c r="A15" s="1769" t="s">
        <v>309</v>
      </c>
      <c r="B15" s="1770"/>
      <c r="C15" s="1770"/>
      <c r="D15" s="1770"/>
      <c r="E15" s="1770"/>
      <c r="F15" s="1770"/>
      <c r="G15" s="1770"/>
      <c r="H15" s="1770"/>
      <c r="I15" s="1770"/>
      <c r="J15" s="1771"/>
      <c r="K15" s="1108"/>
      <c r="L15" s="503"/>
      <c r="M15" s="788"/>
    </row>
    <row r="16" spans="1:26" s="11" customFormat="1" ht="11.25" customHeight="1">
      <c r="A16" s="350"/>
      <c r="B16" s="286"/>
      <c r="C16" s="286"/>
      <c r="D16" s="286"/>
      <c r="E16" s="286"/>
      <c r="F16" s="286"/>
      <c r="G16" s="175"/>
      <c r="H16" s="175"/>
      <c r="I16" s="628"/>
      <c r="J16" s="286"/>
      <c r="K16" s="1107"/>
      <c r="L16" s="605"/>
      <c r="M16" s="788"/>
    </row>
    <row r="17" spans="1:13" s="16" customFormat="1" ht="15" customHeight="1">
      <c r="A17" s="1697" t="s">
        <v>371</v>
      </c>
      <c r="B17" s="1697"/>
      <c r="C17" s="1697"/>
      <c r="D17" s="1697"/>
      <c r="E17" s="1697"/>
      <c r="F17" s="1697"/>
      <c r="G17" s="1697"/>
      <c r="H17" s="1697"/>
      <c r="I17" s="1697"/>
      <c r="J17" s="1697"/>
      <c r="K17" s="1110"/>
      <c r="L17" s="606"/>
      <c r="M17" s="789"/>
    </row>
    <row r="18" spans="1:13" s="16" customFormat="1" ht="15" customHeight="1">
      <c r="A18" s="1410" t="s">
        <v>216</v>
      </c>
      <c r="B18" s="1410"/>
      <c r="C18" s="1410"/>
      <c r="D18" s="1410"/>
      <c r="E18" s="1410"/>
      <c r="F18" s="1410"/>
      <c r="G18" s="1410"/>
      <c r="H18" s="1410"/>
      <c r="I18" s="1410"/>
      <c r="J18" s="1410"/>
      <c r="K18" s="1111"/>
      <c r="L18" s="607"/>
      <c r="M18" s="789"/>
    </row>
    <row r="19" spans="1:13" s="16" customFormat="1" ht="9.75" customHeight="1">
      <c r="A19" s="350"/>
      <c r="B19" s="286"/>
      <c r="C19" s="286"/>
      <c r="D19" s="286"/>
      <c r="E19" s="286"/>
      <c r="F19" s="286"/>
      <c r="G19" s="175"/>
      <c r="H19" s="175"/>
      <c r="I19" s="628"/>
      <c r="J19" s="286"/>
      <c r="K19" s="1107"/>
      <c r="L19" s="605"/>
      <c r="M19" s="789"/>
    </row>
    <row r="20" spans="1:13" s="16" customFormat="1" ht="15" customHeight="1">
      <c r="A20" s="1697" t="s">
        <v>0</v>
      </c>
      <c r="B20" s="1697"/>
      <c r="C20" s="1697"/>
      <c r="D20" s="1697"/>
      <c r="E20" s="1697"/>
      <c r="F20" s="1697"/>
      <c r="G20" s="1697"/>
      <c r="H20" s="1697"/>
      <c r="I20" s="1697"/>
      <c r="J20" s="1697"/>
      <c r="K20" s="1110"/>
      <c r="L20" s="606"/>
      <c r="M20" s="789"/>
    </row>
    <row r="21" spans="1:13" s="16" customFormat="1" ht="15" customHeight="1">
      <c r="A21" s="1295" t="s">
        <v>217</v>
      </c>
      <c r="B21" s="1295"/>
      <c r="C21" s="1295"/>
      <c r="D21" s="1295"/>
      <c r="E21" s="1295"/>
      <c r="F21" s="1295"/>
      <c r="G21" s="1295"/>
      <c r="H21" s="1295"/>
      <c r="I21" s="1295"/>
      <c r="J21" s="1295"/>
      <c r="K21" s="1112"/>
      <c r="L21" s="608"/>
      <c r="M21" s="789"/>
    </row>
    <row r="22" spans="1:13" s="16" customFormat="1" ht="15" customHeight="1">
      <c r="A22" s="1399" t="s">
        <v>218</v>
      </c>
      <c r="B22" s="1295"/>
      <c r="C22" s="1295"/>
      <c r="D22" s="1295" t="s">
        <v>219</v>
      </c>
      <c r="E22" s="1295"/>
      <c r="F22" s="1295"/>
      <c r="G22" s="1295"/>
      <c r="H22" s="1295"/>
      <c r="I22" s="1295" t="s">
        <v>220</v>
      </c>
      <c r="J22" s="1295"/>
      <c r="K22" s="1112"/>
      <c r="L22" s="608"/>
      <c r="M22" s="789"/>
    </row>
    <row r="23" spans="1:13" s="16" customFormat="1" ht="15" customHeight="1">
      <c r="A23" s="1399" t="s">
        <v>221</v>
      </c>
      <c r="B23" s="1295"/>
      <c r="C23" s="1295" t="s">
        <v>222</v>
      </c>
      <c r="D23" s="1295"/>
      <c r="E23" s="1295" t="s">
        <v>672</v>
      </c>
      <c r="F23" s="1295"/>
      <c r="G23" s="1295"/>
      <c r="H23" s="1295" t="s">
        <v>673</v>
      </c>
      <c r="I23" s="1295"/>
      <c r="J23" s="1295"/>
      <c r="K23" s="1112"/>
      <c r="L23" s="608"/>
      <c r="M23" s="789"/>
    </row>
    <row r="24" spans="1:13" s="16" customFormat="1" ht="10.5" customHeight="1">
      <c r="A24" s="350"/>
      <c r="B24" s="286"/>
      <c r="C24" s="286"/>
      <c r="D24" s="286"/>
      <c r="E24" s="286"/>
      <c r="F24" s="286"/>
      <c r="G24" s="175"/>
      <c r="H24" s="175"/>
      <c r="I24" s="628"/>
      <c r="J24" s="286"/>
      <c r="K24" s="1107"/>
      <c r="L24" s="605"/>
      <c r="M24" s="789"/>
    </row>
    <row r="25" spans="1:13" s="16" customFormat="1" ht="15" customHeight="1">
      <c r="A25" s="1697" t="s">
        <v>1</v>
      </c>
      <c r="B25" s="1697"/>
      <c r="C25" s="1697"/>
      <c r="D25" s="1697"/>
      <c r="E25" s="1697"/>
      <c r="F25" s="1697"/>
      <c r="G25" s="1697"/>
      <c r="H25" s="1697"/>
      <c r="I25" s="1697"/>
      <c r="J25" s="1697"/>
      <c r="K25" s="1110"/>
      <c r="L25" s="585"/>
      <c r="M25" s="789"/>
    </row>
    <row r="26" spans="1:13" s="16" customFormat="1" ht="15" customHeight="1">
      <c r="A26" s="1399" t="s">
        <v>666</v>
      </c>
      <c r="B26" s="1295"/>
      <c r="C26" s="1295"/>
      <c r="D26" s="1295"/>
      <c r="E26" s="1295"/>
      <c r="F26" s="1295"/>
      <c r="G26" s="1330" t="s">
        <v>674</v>
      </c>
      <c r="H26" s="1330"/>
      <c r="I26" s="1295" t="s">
        <v>675</v>
      </c>
      <c r="J26" s="1295"/>
      <c r="K26" s="1112"/>
      <c r="L26" s="501"/>
      <c r="M26" s="789"/>
    </row>
    <row r="27" spans="1:13" s="16" customFormat="1" ht="15" customHeight="1">
      <c r="A27" s="1384" t="s">
        <v>227</v>
      </c>
      <c r="B27" s="1372"/>
      <c r="C27" s="1372"/>
      <c r="D27" s="1372"/>
      <c r="E27" s="1372"/>
      <c r="F27" s="1372"/>
      <c r="G27" s="1295" t="s">
        <v>2</v>
      </c>
      <c r="H27" s="1295"/>
      <c r="I27" s="1295"/>
      <c r="J27" s="1295"/>
      <c r="K27" s="1112"/>
      <c r="L27" s="501"/>
      <c r="M27" s="789"/>
    </row>
    <row r="28" spans="1:13" s="16" customFormat="1" ht="15" customHeight="1">
      <c r="A28" s="1388" t="s">
        <v>667</v>
      </c>
      <c r="B28" s="1389"/>
      <c r="C28" s="1389"/>
      <c r="D28" s="1389"/>
      <c r="E28" s="1389"/>
      <c r="F28" s="1390"/>
      <c r="G28" s="1764"/>
      <c r="H28" s="1764"/>
      <c r="I28" s="1764"/>
      <c r="J28" s="1764"/>
      <c r="K28" s="1113"/>
      <c r="L28" s="501"/>
      <c r="M28" s="789"/>
    </row>
    <row r="29" spans="1:13" s="16" customFormat="1" ht="10.5" customHeight="1">
      <c r="A29" s="350"/>
      <c r="B29" s="286"/>
      <c r="C29" s="286"/>
      <c r="D29" s="286"/>
      <c r="E29" s="286"/>
      <c r="F29" s="286"/>
      <c r="G29" s="175"/>
      <c r="H29" s="175"/>
      <c r="I29" s="628"/>
      <c r="J29" s="286"/>
      <c r="K29" s="1107"/>
      <c r="L29" s="605"/>
      <c r="M29" s="789"/>
    </row>
    <row r="30" spans="1:13" s="16" customFormat="1" ht="15" customHeight="1">
      <c r="A30" s="1765" t="s">
        <v>3</v>
      </c>
      <c r="B30" s="1765"/>
      <c r="C30" s="1765"/>
      <c r="D30" s="1765"/>
      <c r="E30" s="1765"/>
      <c r="F30" s="1765"/>
      <c r="G30" s="1765"/>
      <c r="H30" s="1765"/>
      <c r="I30" s="1765"/>
      <c r="J30" s="1765"/>
      <c r="K30" s="1114"/>
      <c r="L30" s="609"/>
      <c r="M30" s="789"/>
    </row>
    <row r="31" spans="1:13" s="16" customFormat="1" ht="15" customHeight="1">
      <c r="A31" s="1399" t="s">
        <v>520</v>
      </c>
      <c r="B31" s="1295"/>
      <c r="C31" s="1295"/>
      <c r="D31" s="1295"/>
      <c r="E31" s="1295"/>
      <c r="F31" s="1295"/>
      <c r="G31" s="1330" t="s">
        <v>522</v>
      </c>
      <c r="H31" s="1330"/>
      <c r="I31" s="1295" t="s">
        <v>523</v>
      </c>
      <c r="J31" s="1295"/>
      <c r="K31" s="1112"/>
      <c r="L31" s="608"/>
      <c r="M31" s="789"/>
    </row>
    <row r="32" spans="1:13" s="16" customFormat="1" ht="15" customHeight="1">
      <c r="A32" s="1399" t="s">
        <v>521</v>
      </c>
      <c r="B32" s="1295"/>
      <c r="C32" s="1295"/>
      <c r="D32" s="1295"/>
      <c r="E32" s="1295" t="s">
        <v>525</v>
      </c>
      <c r="F32" s="1295"/>
      <c r="G32" s="1295"/>
      <c r="H32" s="1295" t="s">
        <v>526</v>
      </c>
      <c r="I32" s="1295"/>
      <c r="J32" s="1295"/>
      <c r="K32" s="1112"/>
      <c r="L32" s="501"/>
      <c r="M32" s="789"/>
    </row>
    <row r="33" spans="1:13" s="16" customFormat="1" ht="27.6" customHeight="1">
      <c r="A33" s="352" t="s">
        <v>301</v>
      </c>
      <c r="B33" s="287"/>
      <c r="C33" s="1291" t="s">
        <v>527</v>
      </c>
      <c r="D33" s="1334"/>
      <c r="E33" s="1295" t="s">
        <v>528</v>
      </c>
      <c r="F33" s="1295"/>
      <c r="G33" s="1295" t="s">
        <v>676</v>
      </c>
      <c r="H33" s="1295"/>
      <c r="I33" s="1295"/>
      <c r="J33" s="1295"/>
      <c r="K33" s="1112"/>
      <c r="L33" s="501"/>
      <c r="M33" s="789"/>
    </row>
    <row r="34" spans="1:13" s="16" customFormat="1" ht="12" customHeight="1">
      <c r="A34" s="353"/>
      <c r="B34" s="288"/>
      <c r="C34" s="288"/>
      <c r="D34" s="288"/>
      <c r="E34" s="288"/>
      <c r="F34" s="288"/>
      <c r="G34" s="175"/>
      <c r="H34" s="175"/>
      <c r="I34" s="628"/>
      <c r="J34" s="286"/>
      <c r="K34" s="1107"/>
      <c r="L34" s="605"/>
      <c r="M34" s="789"/>
    </row>
    <row r="35" spans="1:13" s="16" customFormat="1" ht="15" customHeight="1">
      <c r="A35" s="1697" t="s">
        <v>4</v>
      </c>
      <c r="B35" s="1697"/>
      <c r="C35" s="1697"/>
      <c r="D35" s="1697"/>
      <c r="E35" s="1697"/>
      <c r="F35" s="1697"/>
      <c r="G35" s="1697"/>
      <c r="H35" s="1697"/>
      <c r="I35" s="1697"/>
      <c r="J35" s="1697"/>
      <c r="K35" s="1110"/>
      <c r="L35" s="606"/>
      <c r="M35" s="789"/>
    </row>
    <row r="36" spans="1:13" s="16" customFormat="1" ht="15" customHeight="1">
      <c r="A36" s="1295" t="s">
        <v>229</v>
      </c>
      <c r="B36" s="1295"/>
      <c r="C36" s="1295"/>
      <c r="D36" s="1295"/>
      <c r="E36" s="1295"/>
      <c r="F36" s="1295"/>
      <c r="G36" s="1295"/>
      <c r="H36" s="1295"/>
      <c r="I36" s="1295"/>
      <c r="J36" s="1295"/>
      <c r="K36" s="1112"/>
      <c r="L36" s="608"/>
      <c r="M36" s="789"/>
    </row>
    <row r="37" spans="1:13" s="16" customFormat="1" ht="15" customHeight="1">
      <c r="A37" s="1295" t="s">
        <v>230</v>
      </c>
      <c r="B37" s="1295"/>
      <c r="C37" s="1295"/>
      <c r="D37" s="1295"/>
      <c r="E37" s="1295"/>
      <c r="F37" s="1295"/>
      <c r="G37" s="1295"/>
      <c r="H37" s="1295"/>
      <c r="I37" s="1295"/>
      <c r="J37" s="1295"/>
      <c r="K37" s="1112"/>
      <c r="L37" s="608"/>
      <c r="M37" s="789"/>
    </row>
    <row r="38" spans="1:13" s="16" customFormat="1" ht="12" customHeight="1">
      <c r="A38" s="353"/>
      <c r="B38" s="288"/>
      <c r="C38" s="288"/>
      <c r="D38" s="288"/>
      <c r="E38" s="288"/>
      <c r="F38" s="288"/>
      <c r="G38" s="175"/>
      <c r="H38" s="175"/>
      <c r="I38" s="628"/>
      <c r="J38" s="286"/>
      <c r="K38" s="1107"/>
      <c r="L38" s="605"/>
      <c r="M38" s="789"/>
    </row>
    <row r="39" spans="1:13" s="16" customFormat="1" ht="15" customHeight="1">
      <c r="A39" s="1697" t="s">
        <v>5</v>
      </c>
      <c r="B39" s="1697"/>
      <c r="C39" s="1697"/>
      <c r="D39" s="1697"/>
      <c r="E39" s="1697"/>
      <c r="F39" s="1697"/>
      <c r="G39" s="1697"/>
      <c r="H39" s="1697"/>
      <c r="I39" s="1697"/>
      <c r="J39" s="1697"/>
      <c r="K39" s="1110"/>
      <c r="L39" s="606"/>
      <c r="M39" s="789"/>
    </row>
    <row r="40" spans="1:13" s="16" customFormat="1" ht="15" customHeight="1">
      <c r="A40" s="1295" t="s">
        <v>6</v>
      </c>
      <c r="B40" s="1295"/>
      <c r="C40" s="1295"/>
      <c r="D40" s="1295"/>
      <c r="E40" s="1295"/>
      <c r="F40" s="1295"/>
      <c r="G40" s="1295"/>
      <c r="H40" s="1295"/>
      <c r="I40" s="1295"/>
      <c r="J40" s="1295"/>
      <c r="K40" s="1115"/>
      <c r="L40" s="608"/>
      <c r="M40" s="789"/>
    </row>
    <row r="41" spans="1:13" s="16" customFormat="1" ht="15" customHeight="1">
      <c r="A41" s="1404" t="s">
        <v>669</v>
      </c>
      <c r="B41" s="1404"/>
      <c r="C41" s="1404"/>
      <c r="D41" s="1404"/>
      <c r="E41" s="1404"/>
      <c r="F41" s="1404"/>
      <c r="G41" s="1404"/>
      <c r="H41" s="1404"/>
      <c r="I41" s="1404"/>
      <c r="J41" s="1404"/>
      <c r="K41" s="1110"/>
      <c r="L41" s="585"/>
      <c r="M41" s="789"/>
    </row>
    <row r="42" spans="1:13" s="16" customFormat="1" ht="15" customHeight="1">
      <c r="A42" s="1295" t="s">
        <v>7</v>
      </c>
      <c r="B42" s="1295"/>
      <c r="C42" s="1295"/>
      <c r="D42" s="1295"/>
      <c r="E42" s="1295"/>
      <c r="F42" s="1295"/>
      <c r="G42" s="1295"/>
      <c r="H42" s="1295"/>
      <c r="I42" s="1295"/>
      <c r="J42" s="1295"/>
      <c r="K42" s="1112"/>
      <c r="L42" s="608"/>
      <c r="M42" s="789"/>
    </row>
    <row r="43" spans="1:13" s="16" customFormat="1" ht="15" customHeight="1">
      <c r="A43" s="1404" t="s">
        <v>668</v>
      </c>
      <c r="B43" s="1404"/>
      <c r="C43" s="1404"/>
      <c r="D43" s="1404"/>
      <c r="E43" s="1404"/>
      <c r="F43" s="1404"/>
      <c r="G43" s="1404"/>
      <c r="H43" s="1404"/>
      <c r="I43" s="1404"/>
      <c r="J43" s="1404"/>
      <c r="K43" s="1110"/>
      <c r="L43" s="606"/>
      <c r="M43" s="789"/>
    </row>
    <row r="44" spans="1:13" s="16" customFormat="1" ht="13.9" customHeight="1">
      <c r="A44" s="1486"/>
      <c r="B44" s="1487"/>
      <c r="C44" s="1488"/>
      <c r="D44" s="944"/>
      <c r="E44" s="289"/>
      <c r="F44" s="289"/>
      <c r="G44" s="943"/>
      <c r="H44" s="943"/>
      <c r="I44" s="629"/>
      <c r="J44" s="289"/>
      <c r="K44" s="1107"/>
      <c r="L44" s="605"/>
      <c r="M44" s="789"/>
    </row>
    <row r="45" spans="1:13" s="16" customFormat="1" ht="12.75" customHeight="1">
      <c r="A45" s="1476" t="s">
        <v>8</v>
      </c>
      <c r="B45" s="1372" t="s">
        <v>9</v>
      </c>
      <c r="C45" s="1372"/>
      <c r="D45" s="1404" t="s">
        <v>373</v>
      </c>
      <c r="E45" s="1404"/>
      <c r="F45" s="1404"/>
      <c r="G45" s="1404"/>
      <c r="H45" s="1404"/>
      <c r="I45" s="1404"/>
      <c r="J45" s="1404"/>
      <c r="K45" s="1110"/>
      <c r="L45" s="606"/>
      <c r="M45" s="789"/>
    </row>
    <row r="46" spans="1:13" s="16" customFormat="1" ht="15" customHeight="1">
      <c r="A46" s="1477"/>
      <c r="B46" s="1386" t="s">
        <v>10</v>
      </c>
      <c r="C46" s="1386"/>
      <c r="D46" s="1404" t="s">
        <v>232</v>
      </c>
      <c r="E46" s="1404"/>
      <c r="F46" s="1404"/>
      <c r="G46" s="1404"/>
      <c r="H46" s="1404"/>
      <c r="I46" s="1404"/>
      <c r="J46" s="1404"/>
      <c r="K46" s="1110"/>
      <c r="L46" s="606"/>
      <c r="M46" s="789"/>
    </row>
    <row r="47" spans="1:13" s="16" customFormat="1" ht="16.5" customHeight="1">
      <c r="A47" s="1316" t="s">
        <v>205</v>
      </c>
      <c r="B47" s="1317"/>
      <c r="C47" s="1317"/>
      <c r="D47" s="1317"/>
      <c r="E47" s="1317"/>
      <c r="F47" s="1317"/>
      <c r="G47" s="1317"/>
      <c r="H47" s="1317"/>
      <c r="I47" s="1317"/>
      <c r="J47" s="1318"/>
      <c r="K47" s="1116"/>
      <c r="L47" s="585"/>
      <c r="M47" s="789"/>
    </row>
    <row r="48" spans="1:13" s="16" customFormat="1" ht="46.9" customHeight="1">
      <c r="A48" s="956">
        <v>1</v>
      </c>
      <c r="B48" s="1294" t="s">
        <v>319</v>
      </c>
      <c r="C48" s="1294"/>
      <c r="D48" s="1450" t="s">
        <v>472</v>
      </c>
      <c r="E48" s="1451"/>
      <c r="F48" s="1451"/>
      <c r="G48" s="1451"/>
      <c r="H48" s="1451"/>
      <c r="I48" s="1451"/>
      <c r="J48" s="1763"/>
      <c r="K48" s="1117"/>
      <c r="L48" s="610"/>
      <c r="M48" s="789"/>
    </row>
    <row r="49" spans="1:15" s="16" customFormat="1" ht="54" customHeight="1">
      <c r="A49" s="956" t="s">
        <v>37</v>
      </c>
      <c r="B49" s="1294" t="s">
        <v>474</v>
      </c>
      <c r="C49" s="1294"/>
      <c r="D49" s="1397" t="s">
        <v>237</v>
      </c>
      <c r="E49" s="1397"/>
      <c r="F49" s="1397"/>
      <c r="G49" s="1397"/>
      <c r="H49" s="1397"/>
      <c r="I49" s="1397"/>
      <c r="J49" s="1398"/>
      <c r="K49" s="1118"/>
      <c r="L49" s="610"/>
      <c r="M49" s="789"/>
    </row>
    <row r="50" spans="1:15" s="16" customFormat="1" ht="30.6" customHeight="1">
      <c r="A50" s="956" t="s">
        <v>39</v>
      </c>
      <c r="B50" s="1289" t="s">
        <v>385</v>
      </c>
      <c r="C50" s="1290"/>
      <c r="D50" s="1291" t="s">
        <v>467</v>
      </c>
      <c r="E50" s="1292"/>
      <c r="F50" s="1292"/>
      <c r="G50" s="1292"/>
      <c r="H50" s="1292"/>
      <c r="I50" s="1292"/>
      <c r="J50" s="1293"/>
      <c r="K50" s="1115"/>
      <c r="L50" s="610"/>
      <c r="M50" s="789"/>
    </row>
    <row r="51" spans="1:15" s="16" customFormat="1" ht="44.45" customHeight="1">
      <c r="A51" s="956" t="s">
        <v>345</v>
      </c>
      <c r="B51" s="1289" t="s">
        <v>468</v>
      </c>
      <c r="C51" s="1290"/>
      <c r="D51" s="1291" t="s">
        <v>469</v>
      </c>
      <c r="E51" s="1292"/>
      <c r="F51" s="1292"/>
      <c r="G51" s="1292"/>
      <c r="H51" s="1292"/>
      <c r="I51" s="1292"/>
      <c r="J51" s="1293"/>
      <c r="K51" s="1115"/>
      <c r="L51" s="610"/>
      <c r="M51" s="789"/>
    </row>
    <row r="52" spans="1:15" s="16" customFormat="1" ht="34.15" customHeight="1">
      <c r="A52" s="956" t="s">
        <v>347</v>
      </c>
      <c r="B52" s="1289" t="s">
        <v>470</v>
      </c>
      <c r="C52" s="1290"/>
      <c r="D52" s="1291" t="s">
        <v>410</v>
      </c>
      <c r="E52" s="1292"/>
      <c r="F52" s="1292"/>
      <c r="G52" s="1292"/>
      <c r="H52" s="1292"/>
      <c r="I52" s="1292"/>
      <c r="J52" s="1293"/>
      <c r="K52" s="1115"/>
      <c r="L52" s="610"/>
      <c r="M52" s="789"/>
    </row>
    <row r="53" spans="1:15" s="16" customFormat="1" ht="56.45" customHeight="1" thickBot="1">
      <c r="A53" s="356" t="s">
        <v>349</v>
      </c>
      <c r="B53" s="1684" t="s">
        <v>471</v>
      </c>
      <c r="C53" s="1685"/>
      <c r="D53" s="1349" t="s">
        <v>473</v>
      </c>
      <c r="E53" s="1350"/>
      <c r="F53" s="1350"/>
      <c r="G53" s="1350"/>
      <c r="H53" s="1350"/>
      <c r="I53" s="1350"/>
      <c r="J53" s="1351"/>
      <c r="K53" s="1115"/>
      <c r="L53" s="610"/>
      <c r="M53" s="789"/>
    </row>
    <row r="54" spans="1:15" s="16" customFormat="1" ht="25.15" customHeight="1" thickTop="1">
      <c r="A54" s="588" t="s">
        <v>405</v>
      </c>
      <c r="B54" s="1688" t="s">
        <v>42</v>
      </c>
      <c r="C54" s="1689"/>
      <c r="D54" s="589"/>
      <c r="E54" s="344"/>
      <c r="F54" s="344"/>
      <c r="G54" s="344"/>
      <c r="H54" s="344"/>
      <c r="I54" s="630"/>
      <c r="J54" s="590"/>
      <c r="K54" s="1115"/>
      <c r="L54" s="610"/>
      <c r="M54" s="789"/>
      <c r="N54" s="591" t="s">
        <v>355</v>
      </c>
    </row>
    <row r="55" spans="1:15" s="16" customFormat="1" ht="40.15" customHeight="1">
      <c r="A55" s="956" t="s">
        <v>84</v>
      </c>
      <c r="B55" s="1294" t="s">
        <v>480</v>
      </c>
      <c r="C55" s="1294"/>
      <c r="D55" s="1291" t="s">
        <v>242</v>
      </c>
      <c r="E55" s="1292"/>
      <c r="F55" s="1292"/>
      <c r="G55" s="1292"/>
      <c r="H55" s="1292"/>
      <c r="I55" s="1292"/>
      <c r="J55" s="1293"/>
      <c r="K55" s="1115"/>
      <c r="L55" s="608"/>
      <c r="M55" s="789"/>
    </row>
    <row r="56" spans="1:15" s="16" customFormat="1" ht="306" customHeight="1">
      <c r="A56" s="363" t="s">
        <v>506</v>
      </c>
      <c r="B56" s="1496" t="s">
        <v>475</v>
      </c>
      <c r="C56" s="1496"/>
      <c r="D56" s="1693" t="s">
        <v>420</v>
      </c>
      <c r="E56" s="1694"/>
      <c r="F56" s="1694"/>
      <c r="G56" s="1694"/>
      <c r="H56" s="1694"/>
      <c r="I56" s="1694"/>
      <c r="J56" s="1695"/>
      <c r="K56" s="1118"/>
      <c r="L56" s="610"/>
      <c r="M56" s="789"/>
    </row>
    <row r="57" spans="1:15" s="16" customFormat="1" ht="47.45" customHeight="1">
      <c r="A57" s="956" t="s">
        <v>45</v>
      </c>
      <c r="B57" s="1294" t="s">
        <v>476</v>
      </c>
      <c r="C57" s="1294"/>
      <c r="D57" s="1397" t="s">
        <v>234</v>
      </c>
      <c r="E57" s="1397"/>
      <c r="F57" s="1397"/>
      <c r="G57" s="1397"/>
      <c r="H57" s="1397"/>
      <c r="I57" s="1397"/>
      <c r="J57" s="1398"/>
      <c r="K57" s="1118"/>
      <c r="L57" s="610"/>
      <c r="M57" s="789"/>
    </row>
    <row r="58" spans="1:15" s="16" customFormat="1" ht="84" customHeight="1">
      <c r="A58" s="956">
        <v>3</v>
      </c>
      <c r="B58" s="1294" t="s">
        <v>252</v>
      </c>
      <c r="C58" s="1294"/>
      <c r="D58" s="1291" t="s">
        <v>253</v>
      </c>
      <c r="E58" s="1292"/>
      <c r="F58" s="1292"/>
      <c r="G58" s="1292"/>
      <c r="H58" s="1292"/>
      <c r="I58" s="1292"/>
      <c r="J58" s="1293"/>
      <c r="K58" s="1115"/>
      <c r="L58" s="608"/>
      <c r="M58" s="789"/>
    </row>
    <row r="59" spans="1:15" s="16" customFormat="1" ht="40.9" customHeight="1">
      <c r="A59" s="956">
        <v>4</v>
      </c>
      <c r="B59" s="1294" t="s">
        <v>481</v>
      </c>
      <c r="C59" s="1294"/>
      <c r="D59" s="1291" t="s">
        <v>247</v>
      </c>
      <c r="E59" s="1292"/>
      <c r="F59" s="1292"/>
      <c r="G59" s="1292"/>
      <c r="H59" s="1292"/>
      <c r="I59" s="1292"/>
      <c r="J59" s="1293"/>
      <c r="K59" s="1115"/>
      <c r="L59" s="608"/>
      <c r="M59" s="789"/>
    </row>
    <row r="60" spans="1:15" s="16" customFormat="1" ht="64.900000000000006" customHeight="1">
      <c r="A60" s="956" t="s">
        <v>58</v>
      </c>
      <c r="B60" s="1294" t="s">
        <v>482</v>
      </c>
      <c r="C60" s="1294"/>
      <c r="D60" s="1291" t="s">
        <v>251</v>
      </c>
      <c r="E60" s="1292"/>
      <c r="F60" s="1292"/>
      <c r="G60" s="1292"/>
      <c r="H60" s="1292"/>
      <c r="I60" s="1292"/>
      <c r="J60" s="1293"/>
      <c r="K60" s="1115"/>
      <c r="L60" s="608"/>
      <c r="M60" s="789"/>
    </row>
    <row r="61" spans="1:15" s="16" customFormat="1" ht="114.6" customHeight="1" thickBot="1">
      <c r="A61" s="356" t="s">
        <v>59</v>
      </c>
      <c r="B61" s="1342" t="s">
        <v>248</v>
      </c>
      <c r="C61" s="1342"/>
      <c r="D61" s="1382" t="s">
        <v>249</v>
      </c>
      <c r="E61" s="1382"/>
      <c r="F61" s="1382"/>
      <c r="G61" s="1382"/>
      <c r="H61" s="1382"/>
      <c r="I61" s="1382"/>
      <c r="J61" s="1383"/>
      <c r="K61" s="1115"/>
      <c r="L61" s="608"/>
      <c r="M61" s="789"/>
    </row>
    <row r="62" spans="1:15" s="16" customFormat="1" ht="302.25" customHeight="1" thickTop="1">
      <c r="A62" s="588" t="s">
        <v>477</v>
      </c>
      <c r="B62" s="1688" t="s">
        <v>475</v>
      </c>
      <c r="C62" s="1689"/>
      <c r="D62" s="1679" t="s">
        <v>420</v>
      </c>
      <c r="E62" s="1389"/>
      <c r="F62" s="1389"/>
      <c r="G62" s="1389"/>
      <c r="H62" s="1389"/>
      <c r="I62" s="1389"/>
      <c r="J62" s="1680"/>
      <c r="K62" s="1115"/>
      <c r="L62" s="608"/>
      <c r="M62" s="789"/>
    </row>
    <row r="63" spans="1:15" s="16" customFormat="1" ht="60" customHeight="1">
      <c r="A63" s="358" t="s">
        <v>62</v>
      </c>
      <c r="B63" s="1289" t="s">
        <v>361</v>
      </c>
      <c r="C63" s="1290"/>
      <c r="D63" s="1291" t="s">
        <v>362</v>
      </c>
      <c r="E63" s="1292"/>
      <c r="F63" s="1292"/>
      <c r="G63" s="1292"/>
      <c r="H63" s="1292"/>
      <c r="I63" s="1292"/>
      <c r="J63" s="1293"/>
      <c r="K63" s="1115"/>
      <c r="L63" s="608"/>
      <c r="M63" s="789"/>
      <c r="O63" s="18"/>
    </row>
    <row r="64" spans="1:15" s="16" customFormat="1" ht="19.899999999999999" customHeight="1">
      <c r="A64" s="956">
        <v>5</v>
      </c>
      <c r="B64" s="1289" t="s">
        <v>255</v>
      </c>
      <c r="C64" s="1290"/>
      <c r="D64" s="1291"/>
      <c r="E64" s="1292"/>
      <c r="F64" s="1292"/>
      <c r="G64" s="1292"/>
      <c r="H64" s="1292"/>
      <c r="I64" s="1292"/>
      <c r="J64" s="1293"/>
      <c r="K64" s="1115"/>
      <c r="L64" s="611"/>
      <c r="M64" s="789"/>
    </row>
    <row r="65" spans="1:13" s="16" customFormat="1" ht="120" customHeight="1">
      <c r="A65" s="363" t="s">
        <v>71</v>
      </c>
      <c r="B65" s="1496" t="s">
        <v>256</v>
      </c>
      <c r="C65" s="1496"/>
      <c r="D65" s="1679" t="s">
        <v>289</v>
      </c>
      <c r="E65" s="1389"/>
      <c r="F65" s="1389"/>
      <c r="G65" s="1389"/>
      <c r="H65" s="1389"/>
      <c r="I65" s="1389"/>
      <c r="J65" s="1680"/>
      <c r="K65" s="1115"/>
      <c r="L65" s="608"/>
      <c r="M65" s="789"/>
    </row>
    <row r="66" spans="1:13" s="16" customFormat="1" ht="79.150000000000006" customHeight="1">
      <c r="A66" s="363" t="s">
        <v>72</v>
      </c>
      <c r="B66" s="1496" t="s">
        <v>258</v>
      </c>
      <c r="C66" s="1496"/>
      <c r="D66" s="1679" t="s">
        <v>257</v>
      </c>
      <c r="E66" s="1389"/>
      <c r="F66" s="1389"/>
      <c r="G66" s="1389"/>
      <c r="H66" s="1389"/>
      <c r="I66" s="1389"/>
      <c r="J66" s="1680"/>
      <c r="K66" s="1115"/>
      <c r="L66" s="608"/>
      <c r="M66" s="789"/>
    </row>
    <row r="67" spans="1:13" s="16" customFormat="1" ht="108.6" customHeight="1">
      <c r="A67" s="956" t="s">
        <v>73</v>
      </c>
      <c r="B67" s="1294" t="s">
        <v>254</v>
      </c>
      <c r="C67" s="1294"/>
      <c r="D67" s="1291" t="s">
        <v>333</v>
      </c>
      <c r="E67" s="1292"/>
      <c r="F67" s="1292"/>
      <c r="G67" s="1292"/>
      <c r="H67" s="1292"/>
      <c r="I67" s="1292"/>
      <c r="J67" s="1293"/>
      <c r="K67" s="1115"/>
      <c r="L67" s="608"/>
      <c r="M67" s="789"/>
    </row>
    <row r="68" spans="1:13" s="16" customFormat="1" ht="48" customHeight="1">
      <c r="A68" s="363" t="s">
        <v>74</v>
      </c>
      <c r="B68" s="1289" t="s">
        <v>483</v>
      </c>
      <c r="C68" s="1290"/>
      <c r="D68" s="1291" t="s">
        <v>484</v>
      </c>
      <c r="E68" s="1292"/>
      <c r="F68" s="1292"/>
      <c r="G68" s="1292"/>
      <c r="H68" s="1292"/>
      <c r="I68" s="1292"/>
      <c r="J68" s="1293"/>
      <c r="K68" s="1115"/>
      <c r="L68" s="608"/>
      <c r="M68" s="789"/>
    </row>
    <row r="69" spans="1:13" s="16" customFormat="1" ht="31.15" customHeight="1">
      <c r="A69" s="363" t="s">
        <v>507</v>
      </c>
      <c r="B69" s="1496" t="s">
        <v>486</v>
      </c>
      <c r="C69" s="1496"/>
      <c r="D69" s="1494" t="s">
        <v>485</v>
      </c>
      <c r="E69" s="1494"/>
      <c r="F69" s="1494"/>
      <c r="G69" s="1494"/>
      <c r="H69" s="1494"/>
      <c r="I69" s="1494"/>
      <c r="J69" s="1495"/>
      <c r="K69" s="1115"/>
      <c r="L69" s="608"/>
      <c r="M69" s="789"/>
    </row>
    <row r="70" spans="1:13" s="16" customFormat="1" ht="25.9" customHeight="1">
      <c r="A70" s="363" t="s">
        <v>77</v>
      </c>
      <c r="B70" s="1289" t="s">
        <v>487</v>
      </c>
      <c r="C70" s="1290"/>
      <c r="D70" s="1291" t="s">
        <v>488</v>
      </c>
      <c r="E70" s="1292"/>
      <c r="F70" s="1292"/>
      <c r="G70" s="1292"/>
      <c r="H70" s="1292"/>
      <c r="I70" s="1292"/>
      <c r="J70" s="1293"/>
      <c r="K70" s="1115"/>
      <c r="L70" s="608"/>
      <c r="M70" s="789"/>
    </row>
    <row r="71" spans="1:13" s="16" customFormat="1" ht="31.15" customHeight="1">
      <c r="A71" s="363" t="s">
        <v>337</v>
      </c>
      <c r="B71" s="1289" t="s">
        <v>489</v>
      </c>
      <c r="C71" s="1290"/>
      <c r="D71" s="1291" t="s">
        <v>490</v>
      </c>
      <c r="E71" s="1292"/>
      <c r="F71" s="1292"/>
      <c r="G71" s="1292"/>
      <c r="H71" s="1292"/>
      <c r="I71" s="1292"/>
      <c r="J71" s="1293"/>
      <c r="K71" s="1115"/>
      <c r="L71" s="608"/>
      <c r="M71" s="789"/>
    </row>
    <row r="72" spans="1:13" s="16" customFormat="1" ht="25.9" customHeight="1" thickBot="1">
      <c r="A72" s="356">
        <v>6</v>
      </c>
      <c r="B72" s="1684" t="s">
        <v>491</v>
      </c>
      <c r="C72" s="1685"/>
      <c r="D72" s="1349" t="s">
        <v>492</v>
      </c>
      <c r="E72" s="1350"/>
      <c r="F72" s="1350"/>
      <c r="G72" s="1350"/>
      <c r="H72" s="1350"/>
      <c r="I72" s="1350"/>
      <c r="J72" s="1351"/>
      <c r="K72" s="1115"/>
      <c r="L72" s="608"/>
      <c r="M72" s="789"/>
    </row>
    <row r="73" spans="1:13" s="16" customFormat="1" ht="25.9" customHeight="1" thickTop="1" thickBot="1">
      <c r="A73" s="925"/>
      <c r="B73" s="925"/>
      <c r="C73" s="925"/>
      <c r="D73" s="344"/>
      <c r="E73" s="344"/>
      <c r="F73" s="344"/>
      <c r="G73" s="344"/>
      <c r="H73" s="344"/>
      <c r="I73" s="630"/>
      <c r="J73" s="344"/>
      <c r="K73" s="1115"/>
      <c r="L73" s="608"/>
      <c r="M73" s="789"/>
    </row>
    <row r="74" spans="1:13" s="16" customFormat="1" ht="15" customHeight="1" thickTop="1">
      <c r="A74" s="1690" t="s">
        <v>478</v>
      </c>
      <c r="B74" s="1691"/>
      <c r="C74" s="1691"/>
      <c r="D74" s="1691"/>
      <c r="E74" s="1691"/>
      <c r="F74" s="1691"/>
      <c r="G74" s="1691"/>
      <c r="H74" s="1691"/>
      <c r="I74" s="1691"/>
      <c r="J74" s="1692"/>
      <c r="K74" s="1116"/>
      <c r="L74" s="608"/>
      <c r="M74" s="789"/>
    </row>
    <row r="75" spans="1:13" s="16" customFormat="1" ht="69.75" customHeight="1">
      <c r="A75" s="363">
        <v>1</v>
      </c>
      <c r="B75" s="1289" t="s">
        <v>479</v>
      </c>
      <c r="C75" s="1290"/>
      <c r="D75" s="1291" t="s">
        <v>293</v>
      </c>
      <c r="E75" s="1292"/>
      <c r="F75" s="1292"/>
      <c r="G75" s="1292"/>
      <c r="H75" s="1292"/>
      <c r="I75" s="1292"/>
      <c r="J75" s="1293"/>
      <c r="K75" s="1115"/>
      <c r="L75" s="608"/>
      <c r="M75" s="789"/>
    </row>
    <row r="76" spans="1:13" s="16" customFormat="1" ht="19.149999999999999" customHeight="1">
      <c r="A76" s="363">
        <v>2</v>
      </c>
      <c r="B76" s="1289" t="s">
        <v>42</v>
      </c>
      <c r="C76" s="1290"/>
      <c r="D76" s="1289"/>
      <c r="E76" s="1425"/>
      <c r="F76" s="1425"/>
      <c r="G76" s="1425"/>
      <c r="H76" s="1425"/>
      <c r="I76" s="1425"/>
      <c r="J76" s="1426"/>
      <c r="K76" s="1119"/>
      <c r="L76" s="608"/>
      <c r="M76" s="789"/>
    </row>
    <row r="77" spans="1:13" s="16" customFormat="1" ht="58.5" customHeight="1">
      <c r="A77" s="363" t="s">
        <v>84</v>
      </c>
      <c r="B77" s="1289" t="s">
        <v>493</v>
      </c>
      <c r="C77" s="1290"/>
      <c r="D77" s="1291" t="s">
        <v>498</v>
      </c>
      <c r="E77" s="1292"/>
      <c r="F77" s="1292"/>
      <c r="G77" s="1292"/>
      <c r="H77" s="1292"/>
      <c r="I77" s="1292"/>
      <c r="J77" s="1293"/>
      <c r="K77" s="1115"/>
      <c r="L77" s="608"/>
      <c r="M77" s="789"/>
    </row>
    <row r="78" spans="1:13" s="16" customFormat="1" ht="41.45" customHeight="1">
      <c r="A78" s="363" t="s">
        <v>43</v>
      </c>
      <c r="B78" s="1289" t="s">
        <v>476</v>
      </c>
      <c r="C78" s="1290"/>
      <c r="D78" s="1291" t="s">
        <v>234</v>
      </c>
      <c r="E78" s="1292"/>
      <c r="F78" s="1292"/>
      <c r="G78" s="1292"/>
      <c r="H78" s="1292"/>
      <c r="I78" s="1292"/>
      <c r="J78" s="1293"/>
      <c r="K78" s="1115"/>
      <c r="L78" s="608"/>
      <c r="M78" s="789"/>
    </row>
    <row r="79" spans="1:13" s="16" customFormat="1" ht="31.15" customHeight="1">
      <c r="A79" s="363" t="s">
        <v>240</v>
      </c>
      <c r="B79" s="1289" t="s">
        <v>239</v>
      </c>
      <c r="C79" s="1290"/>
      <c r="D79" s="1291" t="s">
        <v>238</v>
      </c>
      <c r="E79" s="1292"/>
      <c r="F79" s="1292"/>
      <c r="G79" s="1292"/>
      <c r="H79" s="1292"/>
      <c r="I79" s="1292"/>
      <c r="J79" s="1293"/>
      <c r="K79" s="1115"/>
      <c r="L79" s="608"/>
      <c r="M79" s="789"/>
    </row>
    <row r="80" spans="1:13" s="16" customFormat="1" ht="30.6" customHeight="1">
      <c r="A80" s="363" t="s">
        <v>45</v>
      </c>
      <c r="B80" s="1289" t="s">
        <v>480</v>
      </c>
      <c r="C80" s="1290"/>
      <c r="D80" s="1291" t="s">
        <v>242</v>
      </c>
      <c r="E80" s="1292"/>
      <c r="F80" s="1292"/>
      <c r="G80" s="1292"/>
      <c r="H80" s="1292"/>
      <c r="I80" s="1292"/>
      <c r="J80" s="1293"/>
      <c r="K80" s="1115"/>
      <c r="L80" s="608"/>
      <c r="M80" s="789"/>
    </row>
    <row r="81" spans="1:13" s="16" customFormat="1" ht="296.45" customHeight="1">
      <c r="A81" s="363" t="s">
        <v>508</v>
      </c>
      <c r="B81" s="1289" t="s">
        <v>475</v>
      </c>
      <c r="C81" s="1290"/>
      <c r="D81" s="1291" t="s">
        <v>420</v>
      </c>
      <c r="E81" s="1292"/>
      <c r="F81" s="1292"/>
      <c r="G81" s="1292"/>
      <c r="H81" s="1292"/>
      <c r="I81" s="1292"/>
      <c r="J81" s="1293"/>
      <c r="K81" s="1115"/>
      <c r="L81" s="608"/>
      <c r="M81" s="789"/>
    </row>
    <row r="82" spans="1:13" s="16" customFormat="1" ht="30" customHeight="1">
      <c r="A82" s="363">
        <v>3</v>
      </c>
      <c r="B82" s="1289" t="s">
        <v>315</v>
      </c>
      <c r="C82" s="1290"/>
      <c r="D82" s="1291" t="s">
        <v>417</v>
      </c>
      <c r="E82" s="1292"/>
      <c r="F82" s="1292"/>
      <c r="G82" s="1292"/>
      <c r="H82" s="1292"/>
      <c r="I82" s="1292"/>
      <c r="J82" s="1293"/>
      <c r="K82" s="1115"/>
      <c r="L82" s="608"/>
      <c r="M82" s="789"/>
    </row>
    <row r="83" spans="1:13" s="16" customFormat="1" ht="16.149999999999999" customHeight="1">
      <c r="A83" s="363" t="s">
        <v>54</v>
      </c>
      <c r="B83" s="1289" t="s">
        <v>468</v>
      </c>
      <c r="C83" s="1290"/>
      <c r="D83" s="1291" t="s">
        <v>509</v>
      </c>
      <c r="E83" s="1292"/>
      <c r="F83" s="1292"/>
      <c r="G83" s="1292"/>
      <c r="H83" s="1292"/>
      <c r="I83" s="1292"/>
      <c r="J83" s="1293"/>
      <c r="K83" s="1115"/>
      <c r="L83" s="608"/>
      <c r="M83" s="789"/>
    </row>
    <row r="84" spans="1:13" s="16" customFormat="1" ht="18.600000000000001" customHeight="1">
      <c r="A84" s="363" t="s">
        <v>95</v>
      </c>
      <c r="B84" s="1289" t="s">
        <v>494</v>
      </c>
      <c r="C84" s="1290"/>
      <c r="D84" s="1291" t="s">
        <v>510</v>
      </c>
      <c r="E84" s="1292"/>
      <c r="F84" s="1292"/>
      <c r="G84" s="1292"/>
      <c r="H84" s="1292"/>
      <c r="I84" s="1292"/>
      <c r="J84" s="1293"/>
      <c r="K84" s="1115"/>
      <c r="L84" s="608"/>
      <c r="M84" s="789"/>
    </row>
    <row r="85" spans="1:13" s="16" customFormat="1" ht="87.75" customHeight="1">
      <c r="A85" s="363" t="s">
        <v>97</v>
      </c>
      <c r="B85" s="1289" t="s">
        <v>190</v>
      </c>
      <c r="C85" s="1290"/>
      <c r="D85" s="1291" t="s">
        <v>418</v>
      </c>
      <c r="E85" s="1292"/>
      <c r="F85" s="1292"/>
      <c r="G85" s="1292"/>
      <c r="H85" s="1292"/>
      <c r="I85" s="1292"/>
      <c r="J85" s="1293"/>
      <c r="K85" s="1115"/>
      <c r="L85" s="608"/>
      <c r="M85" s="789"/>
    </row>
    <row r="86" spans="1:13" s="858" customFormat="1" ht="20.45" customHeight="1">
      <c r="A86" s="1103">
        <v>4</v>
      </c>
      <c r="B86" s="1639" t="s">
        <v>495</v>
      </c>
      <c r="C86" s="1640"/>
      <c r="D86" s="1760"/>
      <c r="E86" s="1761"/>
      <c r="F86" s="1761"/>
      <c r="G86" s="1761"/>
      <c r="H86" s="1761"/>
      <c r="I86" s="1761"/>
      <c r="J86" s="1762"/>
      <c r="K86" s="1208"/>
      <c r="L86" s="606"/>
      <c r="M86" s="857"/>
    </row>
    <row r="87" spans="1:13" s="16" customFormat="1" ht="84.75" customHeight="1">
      <c r="A87" s="363" t="s">
        <v>58</v>
      </c>
      <c r="B87" s="1289" t="s">
        <v>252</v>
      </c>
      <c r="C87" s="1290"/>
      <c r="D87" s="1291" t="str">
        <f>D58</f>
        <v xml:space="preserve">As alvenarias apresentarão prumo e alinhamentos perfeitos, fiadas niveladas e com espessura das juntas compatíveis com os materiais utilizados.  Os elementos de alvenaria que absorvem água deverão ser molhados por ocasião do seu emprego, e no respaldo de alvenaria não encunhado será executada cinta de concreto armado.
Serão utilizados blocos de concreto estrutural 14x19x39cm, assentados com  argamassa de cimento e areia , na posição de "uma vez".  
</v>
      </c>
      <c r="E87" s="1292"/>
      <c r="F87" s="1292"/>
      <c r="G87" s="1292"/>
      <c r="H87" s="1292"/>
      <c r="I87" s="1292"/>
      <c r="J87" s="1293"/>
      <c r="K87" s="1115"/>
      <c r="L87" s="608"/>
      <c r="M87" s="789"/>
    </row>
    <row r="88" spans="1:13" s="16" customFormat="1" ht="45" customHeight="1">
      <c r="A88" s="363" t="s">
        <v>59</v>
      </c>
      <c r="B88" s="1289" t="s">
        <v>496</v>
      </c>
      <c r="C88" s="1290"/>
      <c r="D88" s="1291" t="s">
        <v>505</v>
      </c>
      <c r="E88" s="1292"/>
      <c r="F88" s="1292"/>
      <c r="G88" s="1292"/>
      <c r="H88" s="1292"/>
      <c r="I88" s="1292"/>
      <c r="J88" s="1293"/>
      <c r="K88" s="1115"/>
      <c r="L88" s="608"/>
      <c r="M88" s="789"/>
    </row>
    <row r="89" spans="1:13" s="16" customFormat="1" ht="100.5" customHeight="1">
      <c r="A89" s="363" t="s">
        <v>60</v>
      </c>
      <c r="B89" s="1289" t="s">
        <v>248</v>
      </c>
      <c r="C89" s="1290"/>
      <c r="D89" s="1291" t="str">
        <f>D61</f>
        <v xml:space="preserve">As formas de vigas e pilares deverão ser de tábua comum ou chapa de compensado tipo madeirite, as quais deverão ter  as amarrações e os escoramentos necessários para não sofrerem deslocamentos ou deformações quando do lançamento do concreto, fazendo com que por ocasião da desforma reproduza uma estrutura perfeita e alinhada.
Na retirada das formas deve se evitar choques mecânicos.
A execução das formas e seus escoramentos deverão garantir nivelamento, prumo, esquadro, paralelismo, alinhamento das peças e impedir o aparecimento de ondulações na superfície pronta do concreto.
</v>
      </c>
      <c r="E89" s="1292"/>
      <c r="F89" s="1292"/>
      <c r="G89" s="1292"/>
      <c r="H89" s="1292"/>
      <c r="I89" s="1292"/>
      <c r="J89" s="1293"/>
      <c r="K89" s="1115"/>
      <c r="L89" s="608"/>
      <c r="M89" s="789"/>
    </row>
    <row r="90" spans="1:13" s="16" customFormat="1" ht="52.15" customHeight="1">
      <c r="A90" s="363">
        <v>5</v>
      </c>
      <c r="B90" s="1289" t="s">
        <v>497</v>
      </c>
      <c r="C90" s="1290"/>
      <c r="D90" s="1291" t="s">
        <v>504</v>
      </c>
      <c r="E90" s="1292"/>
      <c r="F90" s="1292"/>
      <c r="G90" s="1292"/>
      <c r="H90" s="1292"/>
      <c r="I90" s="1292"/>
      <c r="J90" s="1293"/>
      <c r="K90" s="1115"/>
      <c r="L90" s="608"/>
      <c r="M90" s="789"/>
    </row>
    <row r="91" spans="1:13" s="16" customFormat="1" ht="120" customHeight="1">
      <c r="A91" s="363">
        <v>6</v>
      </c>
      <c r="B91" s="1289" t="s">
        <v>248</v>
      </c>
      <c r="C91" s="1290"/>
      <c r="D91" s="1291" t="str">
        <f>D61</f>
        <v xml:space="preserve">As formas de vigas e pilares deverão ser de tábua comum ou chapa de compensado tipo madeirite, as quais deverão ter  as amarrações e os escoramentos necessários para não sofrerem deslocamentos ou deformações quando do lançamento do concreto, fazendo com que por ocasião da desforma reproduza uma estrutura perfeita e alinhada.
Na retirada das formas deve se evitar choques mecânicos.
A execução das formas e seus escoramentos deverão garantir nivelamento, prumo, esquadro, paralelismo, alinhamento das peças e impedir o aparecimento de ondulações na superfície pronta do concreto.
</v>
      </c>
      <c r="E91" s="1292"/>
      <c r="F91" s="1292"/>
      <c r="G91" s="1292"/>
      <c r="H91" s="1292"/>
      <c r="I91" s="1292"/>
      <c r="J91" s="1293"/>
      <c r="K91" s="1115"/>
      <c r="L91" s="608"/>
      <c r="M91" s="789"/>
    </row>
    <row r="92" spans="1:13" s="16" customFormat="1" ht="44.45" customHeight="1">
      <c r="A92" s="363" t="s">
        <v>511</v>
      </c>
      <c r="B92" s="1289" t="s">
        <v>502</v>
      </c>
      <c r="C92" s="1290"/>
      <c r="D92" s="1291" t="s">
        <v>278</v>
      </c>
      <c r="E92" s="1292"/>
      <c r="F92" s="1292"/>
      <c r="G92" s="1292"/>
      <c r="H92" s="1292"/>
      <c r="I92" s="1292"/>
      <c r="J92" s="1293"/>
      <c r="K92" s="1115"/>
      <c r="L92" s="608"/>
      <c r="M92" s="789"/>
    </row>
    <row r="93" spans="1:13" s="858" customFormat="1" ht="24" customHeight="1">
      <c r="A93" s="1103">
        <v>7</v>
      </c>
      <c r="B93" s="1639" t="s">
        <v>78</v>
      </c>
      <c r="C93" s="1640"/>
      <c r="D93" s="1760"/>
      <c r="E93" s="1761"/>
      <c r="F93" s="1761"/>
      <c r="G93" s="1761"/>
      <c r="H93" s="1761"/>
      <c r="I93" s="1761"/>
      <c r="J93" s="1762"/>
      <c r="K93" s="1208"/>
      <c r="L93" s="606"/>
      <c r="M93" s="857"/>
    </row>
    <row r="94" spans="1:13" s="16" customFormat="1" ht="116.45" customHeight="1">
      <c r="A94" s="363" t="s">
        <v>108</v>
      </c>
      <c r="B94" s="1289" t="s">
        <v>256</v>
      </c>
      <c r="C94" s="1290"/>
      <c r="D94" s="1291" t="s">
        <v>289</v>
      </c>
      <c r="E94" s="1292"/>
      <c r="F94" s="1292"/>
      <c r="G94" s="1292"/>
      <c r="H94" s="1292"/>
      <c r="I94" s="1292"/>
      <c r="J94" s="1293"/>
      <c r="K94" s="1115"/>
      <c r="L94" s="608"/>
      <c r="M94" s="789"/>
    </row>
    <row r="95" spans="1:13" s="16" customFormat="1" ht="81.599999999999994" customHeight="1">
      <c r="A95" s="363" t="s">
        <v>109</v>
      </c>
      <c r="B95" s="1289" t="s">
        <v>499</v>
      </c>
      <c r="C95" s="1290"/>
      <c r="D95" s="1291" t="s">
        <v>257</v>
      </c>
      <c r="E95" s="1292"/>
      <c r="F95" s="1292"/>
      <c r="G95" s="1292"/>
      <c r="H95" s="1292"/>
      <c r="I95" s="1292"/>
      <c r="J95" s="1293"/>
      <c r="K95" s="1115"/>
      <c r="L95" s="608"/>
      <c r="M95" s="789"/>
    </row>
    <row r="96" spans="1:13" s="16" customFormat="1" ht="58.15" customHeight="1">
      <c r="A96" s="363" t="s">
        <v>110</v>
      </c>
      <c r="B96" s="1289" t="s">
        <v>500</v>
      </c>
      <c r="C96" s="1290"/>
      <c r="D96" s="1291" t="s">
        <v>281</v>
      </c>
      <c r="E96" s="1292"/>
      <c r="F96" s="1292"/>
      <c r="G96" s="1292"/>
      <c r="H96" s="1292"/>
      <c r="I96" s="1292"/>
      <c r="J96" s="1293"/>
      <c r="K96" s="1115"/>
      <c r="L96" s="608"/>
      <c r="M96" s="789"/>
    </row>
    <row r="97" spans="1:13" s="16" customFormat="1" ht="50.45" customHeight="1">
      <c r="A97" s="363" t="s">
        <v>112</v>
      </c>
      <c r="B97" s="1289" t="s">
        <v>483</v>
      </c>
      <c r="C97" s="1290"/>
      <c r="D97" s="1291" t="s">
        <v>501</v>
      </c>
      <c r="E97" s="1292"/>
      <c r="F97" s="1292"/>
      <c r="G97" s="1292"/>
      <c r="H97" s="1292"/>
      <c r="I97" s="1292"/>
      <c r="J97" s="1293"/>
      <c r="K97" s="1115"/>
      <c r="L97" s="608"/>
      <c r="M97" s="789"/>
    </row>
    <row r="98" spans="1:13" s="16" customFormat="1" ht="50.45" customHeight="1">
      <c r="A98" s="363" t="s">
        <v>114</v>
      </c>
      <c r="B98" s="1289" t="s">
        <v>487</v>
      </c>
      <c r="C98" s="1290"/>
      <c r="D98" s="1291" t="s">
        <v>512</v>
      </c>
      <c r="E98" s="1292"/>
      <c r="F98" s="1292"/>
      <c r="G98" s="1292"/>
      <c r="H98" s="1292"/>
      <c r="I98" s="1292"/>
      <c r="J98" s="1293"/>
      <c r="K98" s="1115"/>
      <c r="L98" s="608"/>
      <c r="M98" s="789"/>
    </row>
    <row r="99" spans="1:13" s="16" customFormat="1" ht="272.25" customHeight="1">
      <c r="A99" s="363">
        <v>8</v>
      </c>
      <c r="B99" s="1289" t="s">
        <v>263</v>
      </c>
      <c r="C99" s="1290"/>
      <c r="D99" s="1291" t="s">
        <v>670</v>
      </c>
      <c r="E99" s="1292"/>
      <c r="F99" s="1292"/>
      <c r="G99" s="1292"/>
      <c r="H99" s="1292"/>
      <c r="I99" s="1292"/>
      <c r="J99" s="1293"/>
      <c r="K99" s="1115"/>
      <c r="L99" s="608"/>
      <c r="M99" s="789"/>
    </row>
    <row r="100" spans="1:13" s="16" customFormat="1" ht="57.75" customHeight="1">
      <c r="A100" s="363">
        <v>9</v>
      </c>
      <c r="B100" s="1639" t="s">
        <v>261</v>
      </c>
      <c r="C100" s="1640"/>
      <c r="D100" s="1291" t="s">
        <v>671</v>
      </c>
      <c r="E100" s="1292"/>
      <c r="F100" s="1292"/>
      <c r="G100" s="1292"/>
      <c r="H100" s="1292"/>
      <c r="I100" s="1292"/>
      <c r="J100" s="1293"/>
      <c r="K100" s="1115"/>
      <c r="L100" s="608"/>
      <c r="M100" s="789"/>
    </row>
    <row r="101" spans="1:13" s="16" customFormat="1" ht="34.9" customHeight="1">
      <c r="A101" s="363">
        <v>10</v>
      </c>
      <c r="B101" s="1639" t="s">
        <v>190</v>
      </c>
      <c r="C101" s="1640"/>
      <c r="D101" s="1291" t="s">
        <v>503</v>
      </c>
      <c r="E101" s="1292"/>
      <c r="F101" s="1292"/>
      <c r="G101" s="1292"/>
      <c r="H101" s="1292"/>
      <c r="I101" s="1292"/>
      <c r="J101" s="1293"/>
      <c r="K101" s="1115"/>
      <c r="L101" s="608"/>
      <c r="M101" s="789"/>
    </row>
    <row r="102" spans="1:13" s="16" customFormat="1" ht="22.15" customHeight="1" thickBot="1">
      <c r="A102" s="356">
        <v>11</v>
      </c>
      <c r="B102" s="1757" t="s">
        <v>195</v>
      </c>
      <c r="C102" s="1758"/>
      <c r="D102" s="1349" t="s">
        <v>280</v>
      </c>
      <c r="E102" s="1350"/>
      <c r="F102" s="1350"/>
      <c r="G102" s="1350"/>
      <c r="H102" s="1350"/>
      <c r="I102" s="1350"/>
      <c r="J102" s="1351"/>
      <c r="K102" s="1115"/>
      <c r="L102" s="608"/>
      <c r="M102" s="789"/>
    </row>
    <row r="103" spans="1:13" s="16" customFormat="1" ht="13.15" customHeight="1" thickTop="1" thickBot="1">
      <c r="A103" s="367"/>
      <c r="B103" s="367"/>
      <c r="C103" s="367"/>
      <c r="D103" s="368"/>
      <c r="E103" s="368"/>
      <c r="F103" s="368"/>
      <c r="G103" s="368"/>
      <c r="H103" s="368"/>
      <c r="I103" s="631"/>
      <c r="J103" s="368"/>
      <c r="K103" s="1112"/>
      <c r="L103" s="608"/>
      <c r="M103" s="789"/>
    </row>
    <row r="104" spans="1:13" s="16" customFormat="1" ht="15" customHeight="1" thickTop="1">
      <c r="A104" s="1690" t="s">
        <v>465</v>
      </c>
      <c r="B104" s="1691"/>
      <c r="C104" s="1691"/>
      <c r="D104" s="1691"/>
      <c r="E104" s="1691"/>
      <c r="F104" s="1691"/>
      <c r="G104" s="1691"/>
      <c r="H104" s="1691"/>
      <c r="I104" s="1691"/>
      <c r="J104" s="1759"/>
      <c r="K104" s="1116"/>
      <c r="L104" s="585"/>
      <c r="M104" s="789"/>
    </row>
    <row r="105" spans="1:13" s="16" customFormat="1" ht="105.6" customHeight="1">
      <c r="A105" s="956" t="s">
        <v>406</v>
      </c>
      <c r="B105" s="1294" t="s">
        <v>91</v>
      </c>
      <c r="C105" s="1294"/>
      <c r="D105" s="1368" t="s">
        <v>358</v>
      </c>
      <c r="E105" s="1368"/>
      <c r="F105" s="1368"/>
      <c r="G105" s="1368"/>
      <c r="H105" s="1368"/>
      <c r="I105" s="1368"/>
      <c r="J105" s="1369"/>
      <c r="K105" s="1112"/>
      <c r="L105" s="608"/>
      <c r="M105" s="789"/>
    </row>
    <row r="106" spans="1:13" s="16" customFormat="1" ht="63" customHeight="1">
      <c r="A106" s="956" t="s">
        <v>405</v>
      </c>
      <c r="B106" s="1294" t="s">
        <v>356</v>
      </c>
      <c r="C106" s="1294"/>
      <c r="D106" s="1346" t="s">
        <v>359</v>
      </c>
      <c r="E106" s="1347"/>
      <c r="F106" s="1347"/>
      <c r="G106" s="1347"/>
      <c r="H106" s="1347"/>
      <c r="I106" s="1347"/>
      <c r="J106" s="1348"/>
      <c r="K106" s="1120"/>
      <c r="L106" s="608"/>
      <c r="M106" s="789"/>
    </row>
    <row r="107" spans="1:13" s="16" customFormat="1" ht="146.44999999999999" customHeight="1">
      <c r="A107" s="363" t="s">
        <v>407</v>
      </c>
      <c r="B107" s="1496" t="s">
        <v>208</v>
      </c>
      <c r="C107" s="1496"/>
      <c r="D107" s="1679" t="s">
        <v>398</v>
      </c>
      <c r="E107" s="1389"/>
      <c r="F107" s="1389"/>
      <c r="G107" s="1389"/>
      <c r="H107" s="1389"/>
      <c r="I107" s="1389"/>
      <c r="J107" s="1680"/>
      <c r="K107" s="1115"/>
      <c r="L107" s="608"/>
      <c r="M107" s="789"/>
    </row>
    <row r="108" spans="1:13" s="16" customFormat="1" ht="78.599999999999994" customHeight="1" thickBot="1">
      <c r="A108" s="356" t="s">
        <v>408</v>
      </c>
      <c r="B108" s="1342" t="s">
        <v>350</v>
      </c>
      <c r="C108" s="1342"/>
      <c r="D108" s="1343" t="s">
        <v>360</v>
      </c>
      <c r="E108" s="1344"/>
      <c r="F108" s="1344"/>
      <c r="G108" s="1344"/>
      <c r="H108" s="1344"/>
      <c r="I108" s="1344"/>
      <c r="J108" s="1345"/>
      <c r="K108" s="1120"/>
      <c r="L108" s="608"/>
      <c r="M108" s="789"/>
    </row>
    <row r="109" spans="1:13" s="16" customFormat="1" ht="12" customHeight="1" thickTop="1">
      <c r="A109" s="509"/>
      <c r="B109" s="925"/>
      <c r="C109" s="925"/>
      <c r="D109" s="925"/>
      <c r="E109" s="925"/>
      <c r="F109" s="925"/>
      <c r="G109" s="290"/>
      <c r="H109" s="290"/>
      <c r="I109" s="633"/>
      <c r="J109" s="509"/>
      <c r="K109" s="1119"/>
      <c r="L109" s="501"/>
      <c r="M109" s="789"/>
    </row>
    <row r="110" spans="1:13" s="16" customFormat="1" ht="12" customHeight="1" thickBot="1">
      <c r="A110" s="925"/>
      <c r="B110" s="925"/>
      <c r="C110" s="925"/>
      <c r="D110" s="925"/>
      <c r="E110" s="925"/>
      <c r="F110" s="925"/>
      <c r="G110" s="290"/>
      <c r="H110" s="290"/>
      <c r="I110" s="633"/>
      <c r="J110" s="925"/>
      <c r="K110" s="1119"/>
      <c r="L110" s="501"/>
      <c r="M110" s="789"/>
    </row>
    <row r="111" spans="1:13" s="16" customFormat="1" ht="13.15" customHeight="1">
      <c r="A111" s="1754" t="s">
        <v>11</v>
      </c>
      <c r="B111" s="1755"/>
      <c r="C111" s="1755"/>
      <c r="D111" s="1755"/>
      <c r="E111" s="1755"/>
      <c r="F111" s="1755"/>
      <c r="G111" s="1755"/>
      <c r="H111" s="1755"/>
      <c r="I111" s="1755"/>
      <c r="J111" s="1756"/>
      <c r="K111" s="1121"/>
      <c r="L111" s="1042"/>
      <c r="M111" s="789"/>
    </row>
    <row r="112" spans="1:13" s="16" customFormat="1" ht="13.9" customHeight="1">
      <c r="A112" s="1750" t="s">
        <v>12</v>
      </c>
      <c r="B112" s="1372"/>
      <c r="C112" s="1372"/>
      <c r="D112" s="1372"/>
      <c r="E112" s="1372"/>
      <c r="F112" s="1372"/>
      <c r="G112" s="1372"/>
      <c r="H112" s="1372"/>
      <c r="I112" s="1372"/>
      <c r="J112" s="1470"/>
      <c r="K112" s="1122"/>
      <c r="L112" s="1029"/>
      <c r="M112" s="789"/>
    </row>
    <row r="113" spans="1:14" s="16" customFormat="1" ht="13.9" customHeight="1">
      <c r="A113" s="1749" t="s">
        <v>374</v>
      </c>
      <c r="B113" s="1386"/>
      <c r="C113" s="1386"/>
      <c r="D113" s="1386"/>
      <c r="E113" s="1386"/>
      <c r="F113" s="1386"/>
      <c r="G113" s="1386"/>
      <c r="H113" s="1386"/>
      <c r="I113" s="1386"/>
      <c r="J113" s="1677"/>
      <c r="K113" s="1123"/>
      <c r="L113" s="1042"/>
      <c r="M113" s="789"/>
    </row>
    <row r="114" spans="1:14" s="16" customFormat="1" ht="12" customHeight="1">
      <c r="A114" s="1750" t="s">
        <v>13</v>
      </c>
      <c r="B114" s="1372"/>
      <c r="C114" s="1372"/>
      <c r="D114" s="1372"/>
      <c r="E114" s="1372"/>
      <c r="F114" s="1372"/>
      <c r="G114" s="1372"/>
      <c r="H114" s="1372"/>
      <c r="I114" s="1372"/>
      <c r="J114" s="1470"/>
      <c r="K114" s="1122"/>
      <c r="L114" s="1029"/>
      <c r="M114" s="789"/>
    </row>
    <row r="115" spans="1:14" s="16" customFormat="1" ht="13.9" customHeight="1">
      <c r="A115" s="1751" t="s">
        <v>425</v>
      </c>
      <c r="B115" s="1340"/>
      <c r="C115" s="1340"/>
      <c r="D115" s="1340"/>
      <c r="E115" s="1340"/>
      <c r="F115" s="1340"/>
      <c r="G115" s="1340"/>
      <c r="H115" s="1340"/>
      <c r="I115" s="1340"/>
      <c r="J115" s="1678"/>
      <c r="K115" s="1124"/>
      <c r="L115" s="1042"/>
      <c r="M115" s="789"/>
    </row>
    <row r="116" spans="1:14" s="16" customFormat="1" ht="13.9" customHeight="1">
      <c r="A116" s="1751" t="s">
        <v>14</v>
      </c>
      <c r="B116" s="1340"/>
      <c r="C116" s="1340"/>
      <c r="D116" s="1340"/>
      <c r="E116" s="1340"/>
      <c r="F116" s="1340"/>
      <c r="G116" s="1340"/>
      <c r="H116" s="1340"/>
      <c r="I116" s="1340"/>
      <c r="J116" s="1678"/>
      <c r="K116" s="1124"/>
      <c r="L116" s="1042"/>
      <c r="M116" s="789"/>
    </row>
    <row r="117" spans="1:14" s="16" customFormat="1" ht="12" customHeight="1">
      <c r="A117" s="1752" t="s">
        <v>355</v>
      </c>
      <c r="B117" s="1326" t="s">
        <v>285</v>
      </c>
      <c r="C117" s="1326"/>
      <c r="D117" s="1326"/>
      <c r="E117" s="1326"/>
      <c r="F117" s="1326"/>
      <c r="G117" s="178" t="s">
        <v>15</v>
      </c>
      <c r="H117" s="178" t="s">
        <v>16</v>
      </c>
      <c r="I117" s="635" t="s">
        <v>17</v>
      </c>
      <c r="J117" s="661" t="s">
        <v>19</v>
      </c>
      <c r="K117" s="1125"/>
      <c r="L117" s="1043"/>
      <c r="M117" s="789"/>
    </row>
    <row r="118" spans="1:14" s="16" customFormat="1" ht="33" customHeight="1">
      <c r="A118" s="1753"/>
      <c r="B118" s="1326"/>
      <c r="C118" s="1326"/>
      <c r="D118" s="1326"/>
      <c r="E118" s="1326"/>
      <c r="F118" s="1326"/>
      <c r="G118" s="960" t="s">
        <v>287</v>
      </c>
      <c r="H118" s="960" t="s">
        <v>288</v>
      </c>
      <c r="I118" s="636" t="s">
        <v>659</v>
      </c>
      <c r="J118" s="961" t="s">
        <v>20</v>
      </c>
      <c r="K118" s="1126" t="s">
        <v>665</v>
      </c>
      <c r="L118" s="1044" t="s">
        <v>531</v>
      </c>
      <c r="M118" s="789"/>
    </row>
    <row r="119" spans="1:14" s="16" customFormat="1" ht="12.6" customHeight="1">
      <c r="A119" s="1063"/>
      <c r="B119" s="1316" t="s">
        <v>205</v>
      </c>
      <c r="C119" s="1317"/>
      <c r="D119" s="1317"/>
      <c r="E119" s="1317"/>
      <c r="F119" s="1318"/>
      <c r="G119" s="578"/>
      <c r="H119" s="578"/>
      <c r="I119" s="963"/>
      <c r="J119" s="662"/>
      <c r="K119" s="1127"/>
      <c r="L119" s="1045"/>
      <c r="M119" s="789"/>
    </row>
    <row r="120" spans="1:14" s="16" customFormat="1" ht="12.6" customHeight="1">
      <c r="A120" s="1064">
        <v>1</v>
      </c>
      <c r="B120" s="1322" t="s">
        <v>36</v>
      </c>
      <c r="C120" s="1322"/>
      <c r="D120" s="1322"/>
      <c r="E120" s="1322"/>
      <c r="F120" s="1322"/>
      <c r="G120" s="181"/>
      <c r="H120" s="182"/>
      <c r="I120" s="637"/>
      <c r="J120" s="663">
        <f>ROUND(SUM(J121:J126),2)</f>
        <v>17245.95</v>
      </c>
      <c r="K120" s="1128">
        <f>ROUND(SUM(K121:K126),2)</f>
        <v>16655.05</v>
      </c>
      <c r="L120" s="1046"/>
      <c r="M120" s="789"/>
    </row>
    <row r="121" spans="1:14" s="154" customFormat="1" ht="13.9" customHeight="1">
      <c r="A121" s="1065" t="s">
        <v>37</v>
      </c>
      <c r="B121" s="1661" t="s">
        <v>40</v>
      </c>
      <c r="C121" s="1661"/>
      <c r="D121" s="1661"/>
      <c r="E121" s="1661"/>
      <c r="F121" s="1661"/>
      <c r="G121" s="1018">
        <v>598.64</v>
      </c>
      <c r="H121" s="237" t="s">
        <v>92</v>
      </c>
      <c r="I121" s="861">
        <f>Plan1!I141*92%</f>
        <v>5.0140000000000002</v>
      </c>
      <c r="J121" s="664">
        <f t="shared" ref="J121:J124" si="0">ROUND(SUM(G121*I121),2)</f>
        <v>3001.58</v>
      </c>
      <c r="K121" s="1129">
        <v>0</v>
      </c>
      <c r="L121" s="1047" t="s">
        <v>543</v>
      </c>
      <c r="M121" s="792">
        <f>J121</f>
        <v>3001.58</v>
      </c>
      <c r="N121" s="868">
        <f>J120-M121</f>
        <v>14244.37</v>
      </c>
    </row>
    <row r="122" spans="1:14" s="266" customFormat="1" ht="43.9" customHeight="1">
      <c r="A122" s="1065" t="s">
        <v>39</v>
      </c>
      <c r="B122" s="1514" t="s">
        <v>364</v>
      </c>
      <c r="C122" s="1515"/>
      <c r="D122" s="1515"/>
      <c r="E122" s="1515"/>
      <c r="F122" s="1516"/>
      <c r="G122" s="1018">
        <v>372.46</v>
      </c>
      <c r="H122" s="530" t="s">
        <v>92</v>
      </c>
      <c r="I122" s="861">
        <f>I398</f>
        <v>15</v>
      </c>
      <c r="J122" s="664">
        <f t="shared" si="0"/>
        <v>5586.9</v>
      </c>
      <c r="K122" s="1129">
        <f>J122</f>
        <v>5586.9</v>
      </c>
      <c r="L122" s="1048" t="s">
        <v>551</v>
      </c>
      <c r="M122" s="792"/>
      <c r="N122" s="866"/>
    </row>
    <row r="123" spans="1:14" s="266" customFormat="1" ht="27" customHeight="1">
      <c r="A123" s="1065" t="s">
        <v>345</v>
      </c>
      <c r="B123" s="1514" t="s">
        <v>93</v>
      </c>
      <c r="C123" s="1515"/>
      <c r="D123" s="1515"/>
      <c r="E123" s="1515"/>
      <c r="F123" s="1516"/>
      <c r="G123" s="1018">
        <v>691.27</v>
      </c>
      <c r="H123" s="530" t="s">
        <v>38</v>
      </c>
      <c r="I123" s="861">
        <v>3.2</v>
      </c>
      <c r="J123" s="664">
        <f t="shared" si="0"/>
        <v>2212.06</v>
      </c>
      <c r="K123" s="1129">
        <f t="shared" ref="K123:K125" si="1">J123</f>
        <v>2212.06</v>
      </c>
      <c r="L123" s="1048" t="s">
        <v>604</v>
      </c>
      <c r="M123" s="792"/>
      <c r="N123" s="866"/>
    </row>
    <row r="124" spans="1:14" s="266" customFormat="1" ht="26.45" customHeight="1">
      <c r="A124" s="1065" t="s">
        <v>347</v>
      </c>
      <c r="B124" s="1514" t="s">
        <v>363</v>
      </c>
      <c r="C124" s="1515"/>
      <c r="D124" s="1515"/>
      <c r="E124" s="1515"/>
      <c r="F124" s="1516"/>
      <c r="G124" s="1018">
        <v>372.46</v>
      </c>
      <c r="H124" s="530" t="s">
        <v>92</v>
      </c>
      <c r="I124" s="861">
        <v>6.66</v>
      </c>
      <c r="J124" s="664">
        <f t="shared" si="0"/>
        <v>2480.58</v>
      </c>
      <c r="K124" s="1129">
        <f t="shared" si="1"/>
        <v>2480.58</v>
      </c>
      <c r="L124" s="1048" t="s">
        <v>605</v>
      </c>
      <c r="M124" s="792"/>
      <c r="N124" s="866"/>
    </row>
    <row r="125" spans="1:14" s="266" customFormat="1" ht="27.6" customHeight="1">
      <c r="A125" s="1065" t="s">
        <v>349</v>
      </c>
      <c r="B125" s="1514" t="s">
        <v>346</v>
      </c>
      <c r="C125" s="1515"/>
      <c r="D125" s="1515"/>
      <c r="E125" s="1515"/>
      <c r="F125" s="1516"/>
      <c r="G125" s="1018">
        <v>241.17</v>
      </c>
      <c r="H125" s="530" t="s">
        <v>96</v>
      </c>
      <c r="I125" s="861">
        <v>16.440000000000001</v>
      </c>
      <c r="J125" s="664">
        <f>ROUND(SUM(G125*I125),2)</f>
        <v>3964.83</v>
      </c>
      <c r="K125" s="1129">
        <f t="shared" si="1"/>
        <v>3964.83</v>
      </c>
      <c r="L125" s="1048" t="s">
        <v>606</v>
      </c>
      <c r="M125" s="792"/>
      <c r="N125" s="866"/>
    </row>
    <row r="126" spans="1:14" s="266" customFormat="1" ht="27.6" customHeight="1">
      <c r="A126" s="1065" t="s">
        <v>655</v>
      </c>
      <c r="B126" s="1514" t="s">
        <v>657</v>
      </c>
      <c r="C126" s="1515"/>
      <c r="D126" s="1515"/>
      <c r="E126" s="1515"/>
      <c r="F126" s="1516"/>
      <c r="G126" s="1018">
        <v>1</v>
      </c>
      <c r="H126" s="530" t="s">
        <v>656</v>
      </c>
      <c r="I126" s="1019">
        <v>2410.6799999999998</v>
      </c>
      <c r="J126" s="664">
        <v>0</v>
      </c>
      <c r="K126" s="1129">
        <f>G126*I126</f>
        <v>2410.6799999999998</v>
      </c>
      <c r="L126" s="1048" t="s">
        <v>658</v>
      </c>
      <c r="M126" s="792"/>
      <c r="N126" s="866"/>
    </row>
    <row r="127" spans="1:14" s="16" customFormat="1" ht="11.45" customHeight="1">
      <c r="A127" s="1066"/>
      <c r="B127" s="1444"/>
      <c r="C127" s="1445"/>
      <c r="D127" s="1445"/>
      <c r="E127" s="1445"/>
      <c r="F127" s="1446"/>
      <c r="G127" s="184"/>
      <c r="H127" s="941"/>
      <c r="I127" s="190"/>
      <c r="J127" s="665"/>
      <c r="K127" s="1130"/>
      <c r="L127" s="1047"/>
      <c r="M127" s="789"/>
      <c r="N127" s="800"/>
    </row>
    <row r="128" spans="1:14" s="16" customFormat="1" ht="13.9" customHeight="1">
      <c r="A128" s="1064">
        <v>2</v>
      </c>
      <c r="B128" s="1322" t="s">
        <v>42</v>
      </c>
      <c r="C128" s="1322"/>
      <c r="D128" s="1322"/>
      <c r="E128" s="1322"/>
      <c r="F128" s="1322"/>
      <c r="G128" s="291"/>
      <c r="H128" s="182"/>
      <c r="I128" s="638"/>
      <c r="J128" s="666">
        <f>SUM(J129:J132)</f>
        <v>59299.51</v>
      </c>
      <c r="K128" s="1131">
        <f>SUM(K129:K132)</f>
        <v>0</v>
      </c>
      <c r="L128" s="1049"/>
      <c r="M128" s="789"/>
      <c r="N128" s="800"/>
    </row>
    <row r="129" spans="1:14" s="154" customFormat="1" ht="13.9" customHeight="1">
      <c r="A129" s="1067" t="s">
        <v>84</v>
      </c>
      <c r="B129" s="1660" t="s">
        <v>44</v>
      </c>
      <c r="C129" s="1660"/>
      <c r="D129" s="1660"/>
      <c r="E129" s="1660"/>
      <c r="F129" s="1660"/>
      <c r="G129" s="554">
        <v>6306</v>
      </c>
      <c r="H129" s="237" t="s">
        <v>50</v>
      </c>
      <c r="I129" s="861">
        <f>Plan1!I144*92%</f>
        <v>5.0784000000000002</v>
      </c>
      <c r="J129" s="1020">
        <f>ROUND(G129*I129,2)</f>
        <v>32024.39</v>
      </c>
      <c r="K129" s="1132">
        <v>0</v>
      </c>
      <c r="L129" s="1732" t="s">
        <v>543</v>
      </c>
      <c r="M129" s="792">
        <f>J129</f>
        <v>32024.39</v>
      </c>
      <c r="N129" s="868"/>
    </row>
    <row r="130" spans="1:14" s="154" customFormat="1" ht="13.9" customHeight="1">
      <c r="A130" s="1067" t="s">
        <v>43</v>
      </c>
      <c r="B130" s="1660" t="s">
        <v>46</v>
      </c>
      <c r="C130" s="1660"/>
      <c r="D130" s="1660"/>
      <c r="E130" s="1660"/>
      <c r="F130" s="1660"/>
      <c r="G130" s="1018">
        <v>85.14</v>
      </c>
      <c r="H130" s="237" t="s">
        <v>92</v>
      </c>
      <c r="I130" s="861">
        <f>Plan1!I145*92%</f>
        <v>227.6172</v>
      </c>
      <c r="J130" s="1020">
        <f t="shared" ref="J130:J132" si="2">ROUND(G130*I130,2)</f>
        <v>19379.330000000002</v>
      </c>
      <c r="K130" s="1132">
        <v>0</v>
      </c>
      <c r="L130" s="1733"/>
      <c r="M130" s="792">
        <f t="shared" ref="M130:M132" si="3">J130</f>
        <v>19379.330000000002</v>
      </c>
      <c r="N130" s="868"/>
    </row>
    <row r="131" spans="1:14" s="154" customFormat="1" ht="13.9" customHeight="1">
      <c r="A131" s="1067" t="s">
        <v>240</v>
      </c>
      <c r="B131" s="1660" t="s">
        <v>321</v>
      </c>
      <c r="C131" s="1660"/>
      <c r="D131" s="1660"/>
      <c r="E131" s="1660"/>
      <c r="F131" s="1660"/>
      <c r="G131" s="1018">
        <v>85.14</v>
      </c>
      <c r="H131" s="237" t="s">
        <v>92</v>
      </c>
      <c r="I131" s="861">
        <f>Plan1!I146*92%</f>
        <v>55.384000000000007</v>
      </c>
      <c r="J131" s="1020">
        <f t="shared" si="2"/>
        <v>4715.3900000000003</v>
      </c>
      <c r="K131" s="1132">
        <v>0</v>
      </c>
      <c r="L131" s="1733"/>
      <c r="M131" s="792">
        <f t="shared" si="3"/>
        <v>4715.3900000000003</v>
      </c>
      <c r="N131" s="868"/>
    </row>
    <row r="132" spans="1:14" s="154" customFormat="1" ht="13.9" customHeight="1">
      <c r="A132" s="1067" t="s">
        <v>45</v>
      </c>
      <c r="B132" s="1660" t="s">
        <v>49</v>
      </c>
      <c r="C132" s="1660"/>
      <c r="D132" s="1660"/>
      <c r="E132" s="1660"/>
      <c r="F132" s="1660"/>
      <c r="G132" s="1018">
        <v>96</v>
      </c>
      <c r="H132" s="237" t="s">
        <v>52</v>
      </c>
      <c r="I132" s="861">
        <f>Plan1!I147*92%</f>
        <v>33.129199999999997</v>
      </c>
      <c r="J132" s="1020">
        <f t="shared" si="2"/>
        <v>3180.4</v>
      </c>
      <c r="K132" s="1132">
        <v>0</v>
      </c>
      <c r="L132" s="1734"/>
      <c r="M132" s="792">
        <f t="shared" si="3"/>
        <v>3180.4</v>
      </c>
      <c r="N132" s="868"/>
    </row>
    <row r="133" spans="1:14" s="16" customFormat="1" ht="12" customHeight="1">
      <c r="A133" s="1068"/>
      <c r="B133" s="948"/>
      <c r="C133" s="948"/>
      <c r="D133" s="948"/>
      <c r="E133" s="948"/>
      <c r="F133" s="948"/>
      <c r="G133" s="522"/>
      <c r="H133" s="943"/>
      <c r="I133" s="639"/>
      <c r="J133" s="563"/>
      <c r="K133" s="1133"/>
      <c r="L133" s="1047"/>
      <c r="M133" s="793"/>
      <c r="N133" s="800"/>
    </row>
    <row r="134" spans="1:14" s="16" customFormat="1" ht="13.9" customHeight="1">
      <c r="A134" s="1069">
        <v>3</v>
      </c>
      <c r="B134" s="1301" t="s">
        <v>53</v>
      </c>
      <c r="C134" s="1302"/>
      <c r="D134" s="1302"/>
      <c r="E134" s="1302"/>
      <c r="F134" s="1303"/>
      <c r="G134" s="549"/>
      <c r="H134" s="222"/>
      <c r="I134" s="640"/>
      <c r="J134" s="667">
        <f>SUM(J135)</f>
        <v>3159.05</v>
      </c>
      <c r="K134" s="1134">
        <f>SUM(K135)</f>
        <v>0</v>
      </c>
      <c r="L134" s="1049"/>
      <c r="M134" s="789"/>
      <c r="N134" s="800"/>
    </row>
    <row r="135" spans="1:14" s="154" customFormat="1" ht="16.899999999999999" customHeight="1">
      <c r="A135" s="1067" t="s">
        <v>54</v>
      </c>
      <c r="B135" s="1523" t="s">
        <v>313</v>
      </c>
      <c r="C135" s="1524"/>
      <c r="D135" s="1524"/>
      <c r="E135" s="1524"/>
      <c r="F135" s="1525"/>
      <c r="G135" s="1021">
        <v>68.13</v>
      </c>
      <c r="H135" s="237" t="s">
        <v>96</v>
      </c>
      <c r="I135" s="861">
        <f>Plan1!I150*92%</f>
        <v>46.368000000000002</v>
      </c>
      <c r="J135" s="1022">
        <f>ROUND(G135*I135,2)</f>
        <v>3159.05</v>
      </c>
      <c r="K135" s="1135"/>
      <c r="L135" s="1050" t="s">
        <v>543</v>
      </c>
      <c r="M135" s="792">
        <f>J135</f>
        <v>3159.05</v>
      </c>
      <c r="N135" s="868"/>
    </row>
    <row r="136" spans="1:14" s="16" customFormat="1" ht="12" customHeight="1">
      <c r="A136" s="1070"/>
      <c r="B136" s="1356"/>
      <c r="C136" s="1356"/>
      <c r="D136" s="1356"/>
      <c r="E136" s="1356"/>
      <c r="F136" s="1356"/>
      <c r="G136" s="178"/>
      <c r="H136" s="195"/>
      <c r="I136" s="190"/>
      <c r="J136" s="668"/>
      <c r="K136" s="1136"/>
      <c r="L136" s="1051"/>
      <c r="M136" s="789"/>
      <c r="N136" s="800"/>
    </row>
    <row r="137" spans="1:14" s="16" customFormat="1" ht="13.9" customHeight="1">
      <c r="A137" s="1064">
        <v>4</v>
      </c>
      <c r="B137" s="1322" t="s">
        <v>63</v>
      </c>
      <c r="C137" s="1322"/>
      <c r="D137" s="1322"/>
      <c r="E137" s="1322"/>
      <c r="F137" s="1322"/>
      <c r="G137" s="182"/>
      <c r="H137" s="189"/>
      <c r="I137" s="638"/>
      <c r="J137" s="666">
        <f>SUM(J138:J143)</f>
        <v>55373.26</v>
      </c>
      <c r="K137" s="1131">
        <f>SUM(K138:K143)</f>
        <v>15846.4</v>
      </c>
      <c r="L137" s="1049"/>
      <c r="M137" s="789"/>
      <c r="N137" s="800"/>
    </row>
    <row r="138" spans="1:14" s="154" customFormat="1" ht="13.9" customHeight="1">
      <c r="A138" s="1071" t="s">
        <v>58</v>
      </c>
      <c r="B138" s="1661" t="s">
        <v>44</v>
      </c>
      <c r="C138" s="1661"/>
      <c r="D138" s="1661"/>
      <c r="E138" s="1661"/>
      <c r="F138" s="1661"/>
      <c r="G138" s="554">
        <v>957.6</v>
      </c>
      <c r="H138" s="237" t="s">
        <v>50</v>
      </c>
      <c r="I138" s="861">
        <f>Plan1!I153*92%</f>
        <v>5.0784000000000002</v>
      </c>
      <c r="J138" s="669">
        <f>ROUND(G138*I138,2)</f>
        <v>4863.08</v>
      </c>
      <c r="K138" s="1137">
        <v>0</v>
      </c>
      <c r="L138" s="1732" t="s">
        <v>543</v>
      </c>
      <c r="M138" s="792">
        <f>J138</f>
        <v>4863.08</v>
      </c>
      <c r="N138" s="868"/>
    </row>
    <row r="139" spans="1:14" s="266" customFormat="1" ht="13.9" customHeight="1">
      <c r="A139" s="1071" t="s">
        <v>59</v>
      </c>
      <c r="B139" s="1661" t="s">
        <v>56</v>
      </c>
      <c r="C139" s="1661"/>
      <c r="D139" s="1661"/>
      <c r="E139" s="1661"/>
      <c r="F139" s="1661"/>
      <c r="G139" s="554">
        <v>77.599999999999994</v>
      </c>
      <c r="H139" s="237" t="s">
        <v>38</v>
      </c>
      <c r="I139" s="861">
        <f>Plan1!I154*92%</f>
        <v>42.264800000000001</v>
      </c>
      <c r="J139" s="669">
        <f t="shared" ref="J139:J143" si="4">ROUND(G139*I139,2)</f>
        <v>3279.75</v>
      </c>
      <c r="K139" s="1137">
        <v>0</v>
      </c>
      <c r="L139" s="1733"/>
      <c r="M139" s="792">
        <f t="shared" ref="M139:M142" si="5">J139</f>
        <v>3279.75</v>
      </c>
      <c r="N139" s="866"/>
    </row>
    <row r="140" spans="1:14" s="266" customFormat="1" ht="13.9" customHeight="1">
      <c r="A140" s="1071" t="s">
        <v>60</v>
      </c>
      <c r="B140" s="1661" t="s">
        <v>46</v>
      </c>
      <c r="C140" s="1661"/>
      <c r="D140" s="1661"/>
      <c r="E140" s="1661"/>
      <c r="F140" s="1661"/>
      <c r="G140" s="554">
        <v>11.97</v>
      </c>
      <c r="H140" s="237" t="s">
        <v>51</v>
      </c>
      <c r="I140" s="861">
        <f>Plan1!I155*92%</f>
        <v>227.6172</v>
      </c>
      <c r="J140" s="669">
        <f t="shared" si="4"/>
        <v>2724.58</v>
      </c>
      <c r="K140" s="1137">
        <v>0</v>
      </c>
      <c r="L140" s="1733"/>
      <c r="M140" s="792">
        <f t="shared" si="5"/>
        <v>2724.58</v>
      </c>
      <c r="N140" s="866"/>
    </row>
    <row r="141" spans="1:14" s="266" customFormat="1" ht="13.9" customHeight="1">
      <c r="A141" s="1071" t="s">
        <v>61</v>
      </c>
      <c r="B141" s="1661" t="s">
        <v>321</v>
      </c>
      <c r="C141" s="1661"/>
      <c r="D141" s="1661"/>
      <c r="E141" s="1661"/>
      <c r="F141" s="1661"/>
      <c r="G141" s="554">
        <v>11.97</v>
      </c>
      <c r="H141" s="237" t="s">
        <v>51</v>
      </c>
      <c r="I141" s="861">
        <f>Plan1!I156*92%</f>
        <v>55.384000000000007</v>
      </c>
      <c r="J141" s="669">
        <f t="shared" si="4"/>
        <v>662.95</v>
      </c>
      <c r="K141" s="1137">
        <v>0</v>
      </c>
      <c r="L141" s="1733"/>
      <c r="M141" s="792">
        <f t="shared" si="5"/>
        <v>662.95</v>
      </c>
      <c r="N141" s="866"/>
    </row>
    <row r="142" spans="1:14" s="266" customFormat="1" ht="26.45" customHeight="1">
      <c r="A142" s="1071" t="s">
        <v>62</v>
      </c>
      <c r="B142" s="1660" t="s">
        <v>57</v>
      </c>
      <c r="C142" s="1660"/>
      <c r="D142" s="1660"/>
      <c r="E142" s="1660"/>
      <c r="F142" s="1660"/>
      <c r="G142" s="554">
        <v>38</v>
      </c>
      <c r="H142" s="237" t="s">
        <v>96</v>
      </c>
      <c r="I142" s="861">
        <v>736.75</v>
      </c>
      <c r="J142" s="669">
        <f t="shared" si="4"/>
        <v>27996.5</v>
      </c>
      <c r="K142" s="1137">
        <v>0</v>
      </c>
      <c r="L142" s="1734"/>
      <c r="M142" s="792">
        <f t="shared" si="5"/>
        <v>27996.5</v>
      </c>
      <c r="N142" s="866"/>
    </row>
    <row r="143" spans="1:14" s="266" customFormat="1" ht="26.45" customHeight="1">
      <c r="A143" s="1071" t="s">
        <v>597</v>
      </c>
      <c r="B143" s="1660" t="s">
        <v>57</v>
      </c>
      <c r="C143" s="1660"/>
      <c r="D143" s="1660"/>
      <c r="E143" s="1660"/>
      <c r="F143" s="1660"/>
      <c r="G143" s="554">
        <v>9.17</v>
      </c>
      <c r="H143" s="237" t="s">
        <v>96</v>
      </c>
      <c r="I143" s="861">
        <v>1728.07</v>
      </c>
      <c r="J143" s="669">
        <f t="shared" si="4"/>
        <v>15846.4</v>
      </c>
      <c r="K143" s="1137">
        <f>J143</f>
        <v>15846.4</v>
      </c>
      <c r="L143" s="1048" t="s">
        <v>607</v>
      </c>
      <c r="M143" s="792"/>
      <c r="N143" s="866"/>
    </row>
    <row r="144" spans="1:14" s="16" customFormat="1" ht="12.6" customHeight="1">
      <c r="A144" s="1072"/>
      <c r="B144" s="966"/>
      <c r="C144" s="967"/>
      <c r="D144" s="967"/>
      <c r="E144" s="967"/>
      <c r="F144" s="968"/>
      <c r="G144" s="201"/>
      <c r="H144" s="202"/>
      <c r="I144" s="196"/>
      <c r="J144" s="671"/>
      <c r="K144" s="1138"/>
      <c r="L144" s="1052"/>
      <c r="M144" s="789"/>
      <c r="N144" s="800"/>
    </row>
    <row r="145" spans="1:15" s="16" customFormat="1" ht="13.15" customHeight="1">
      <c r="A145" s="1073">
        <v>5</v>
      </c>
      <c r="B145" s="1336" t="s">
        <v>78</v>
      </c>
      <c r="C145" s="1337"/>
      <c r="D145" s="1337"/>
      <c r="E145" s="1337"/>
      <c r="F145" s="1338"/>
      <c r="G145" s="292"/>
      <c r="H145" s="204"/>
      <c r="I145" s="276"/>
      <c r="J145" s="667">
        <f>SUM(J146:J156)</f>
        <v>85215.492425230332</v>
      </c>
      <c r="K145" s="1134">
        <f>SUM(K146:K156)</f>
        <v>38434.66242523033</v>
      </c>
      <c r="L145" s="1049"/>
      <c r="M145" s="789"/>
      <c r="N145" s="800"/>
    </row>
    <row r="146" spans="1:15" s="154" customFormat="1" ht="15" customHeight="1">
      <c r="A146" s="1067" t="s">
        <v>71</v>
      </c>
      <c r="B146" s="1661" t="s">
        <v>65</v>
      </c>
      <c r="C146" s="1661"/>
      <c r="D146" s="1661"/>
      <c r="E146" s="1661"/>
      <c r="F146" s="1661"/>
      <c r="G146" s="236">
        <v>467</v>
      </c>
      <c r="H146" s="237" t="s">
        <v>96</v>
      </c>
      <c r="I146" s="861">
        <f>Plan1!I160*92%</f>
        <v>3.5420000000000003</v>
      </c>
      <c r="J146" s="669">
        <f>ROUND(G146*I146,2)</f>
        <v>1654.11</v>
      </c>
      <c r="K146" s="1137">
        <v>0</v>
      </c>
      <c r="L146" s="1050" t="s">
        <v>543</v>
      </c>
      <c r="M146" s="792">
        <f>J146</f>
        <v>1654.11</v>
      </c>
      <c r="N146" s="868"/>
    </row>
    <row r="147" spans="1:15" s="266" customFormat="1" ht="15" customHeight="1">
      <c r="A147" s="1067" t="s">
        <v>72</v>
      </c>
      <c r="B147" s="1661" t="s">
        <v>66</v>
      </c>
      <c r="C147" s="1661"/>
      <c r="D147" s="1661"/>
      <c r="E147" s="1661"/>
      <c r="F147" s="1661"/>
      <c r="G147" s="236">
        <v>467</v>
      </c>
      <c r="H147" s="237" t="s">
        <v>96</v>
      </c>
      <c r="I147" s="861">
        <f>Plan1!I161*92%</f>
        <v>10.4604</v>
      </c>
      <c r="J147" s="669">
        <f t="shared" ref="J147:J148" si="6">ROUND(G147*I147,2)</f>
        <v>4885.01</v>
      </c>
      <c r="K147" s="1137">
        <v>0</v>
      </c>
      <c r="L147" s="1050" t="s">
        <v>543</v>
      </c>
      <c r="M147" s="792">
        <f t="shared" ref="M147:M149" si="7">J147</f>
        <v>4885.01</v>
      </c>
      <c r="N147" s="866"/>
    </row>
    <row r="148" spans="1:15" s="266" customFormat="1" ht="30" customHeight="1">
      <c r="A148" s="1067" t="s">
        <v>73</v>
      </c>
      <c r="B148" s="1746" t="s">
        <v>320</v>
      </c>
      <c r="C148" s="1747"/>
      <c r="D148" s="1747"/>
      <c r="E148" s="1747"/>
      <c r="F148" s="1748"/>
      <c r="G148" s="236">
        <v>467</v>
      </c>
      <c r="H148" s="1023" t="s">
        <v>96</v>
      </c>
      <c r="I148" s="861">
        <f>Plan1!I162*92%</f>
        <v>20.9024</v>
      </c>
      <c r="J148" s="1024">
        <f t="shared" si="6"/>
        <v>9761.42</v>
      </c>
      <c r="K148" s="1139">
        <v>0</v>
      </c>
      <c r="L148" s="1050" t="s">
        <v>543</v>
      </c>
      <c r="M148" s="792">
        <f t="shared" si="7"/>
        <v>9761.42</v>
      </c>
      <c r="N148" s="866"/>
    </row>
    <row r="149" spans="1:15" s="266" customFormat="1" ht="30" customHeight="1">
      <c r="A149" s="1074" t="s">
        <v>74</v>
      </c>
      <c r="B149" s="1739" t="s">
        <v>516</v>
      </c>
      <c r="C149" s="1739"/>
      <c r="D149" s="1739"/>
      <c r="E149" s="1739"/>
      <c r="F149" s="1739"/>
      <c r="G149" s="236">
        <v>250</v>
      </c>
      <c r="H149" s="1023" t="s">
        <v>96</v>
      </c>
      <c r="I149" s="861">
        <v>33.229999999999997</v>
      </c>
      <c r="J149" s="1024">
        <f>I149*G149</f>
        <v>8307.5</v>
      </c>
      <c r="K149" s="1139">
        <v>0</v>
      </c>
      <c r="L149" s="1050" t="s">
        <v>543</v>
      </c>
      <c r="M149" s="792">
        <f t="shared" si="7"/>
        <v>8307.5</v>
      </c>
      <c r="N149" s="866"/>
    </row>
    <row r="150" spans="1:15" s="266" customFormat="1" ht="27.6" customHeight="1">
      <c r="A150" s="1065" t="s">
        <v>598</v>
      </c>
      <c r="B150" s="1739" t="s">
        <v>516</v>
      </c>
      <c r="C150" s="1739"/>
      <c r="D150" s="1739"/>
      <c r="E150" s="1739"/>
      <c r="F150" s="1739"/>
      <c r="G150" s="1025">
        <v>217.12515946137495</v>
      </c>
      <c r="H150" s="1023" t="s">
        <v>96</v>
      </c>
      <c r="I150" s="861">
        <v>92.03</v>
      </c>
      <c r="J150" s="1026">
        <f>I150*G150</f>
        <v>19982.028425230335</v>
      </c>
      <c r="K150" s="1140">
        <f>J150</f>
        <v>19982.028425230335</v>
      </c>
      <c r="L150" s="1048" t="s">
        <v>608</v>
      </c>
      <c r="M150" s="792"/>
      <c r="N150" s="866"/>
    </row>
    <row r="151" spans="1:15" s="266" customFormat="1" ht="15" customHeight="1">
      <c r="A151" s="1067" t="s">
        <v>75</v>
      </c>
      <c r="B151" s="1660" t="s">
        <v>68</v>
      </c>
      <c r="C151" s="1660"/>
      <c r="D151" s="1660"/>
      <c r="E151" s="1660"/>
      <c r="F151" s="1660"/>
      <c r="G151" s="554">
        <v>23.38</v>
      </c>
      <c r="H151" s="237" t="s">
        <v>92</v>
      </c>
      <c r="I151" s="861">
        <f>Plan1!I164*92%</f>
        <v>468.04080000000005</v>
      </c>
      <c r="J151" s="669">
        <f>ROUND(G151*I151,2)</f>
        <v>10942.79</v>
      </c>
      <c r="K151" s="1137">
        <v>0</v>
      </c>
      <c r="L151" s="1050" t="s">
        <v>543</v>
      </c>
      <c r="M151" s="792">
        <f>J151</f>
        <v>10942.79</v>
      </c>
      <c r="N151" s="866"/>
    </row>
    <row r="152" spans="1:15" s="266" customFormat="1" ht="15" customHeight="1">
      <c r="A152" s="1067" t="s">
        <v>76</v>
      </c>
      <c r="B152" s="1660" t="s">
        <v>69</v>
      </c>
      <c r="C152" s="1660"/>
      <c r="D152" s="1660"/>
      <c r="E152" s="1660"/>
      <c r="F152" s="1660"/>
      <c r="G152" s="554">
        <v>250</v>
      </c>
      <c r="H152" s="237" t="s">
        <v>96</v>
      </c>
      <c r="I152" s="861">
        <v>39.159999999999997</v>
      </c>
      <c r="J152" s="669">
        <f>ROUND(G152*I152,2)</f>
        <v>9790</v>
      </c>
      <c r="K152" s="1137">
        <v>0</v>
      </c>
      <c r="L152" s="1050" t="s">
        <v>543</v>
      </c>
      <c r="M152" s="792">
        <f>J152</f>
        <v>9790</v>
      </c>
      <c r="N152" s="866"/>
    </row>
    <row r="153" spans="1:15" s="266" customFormat="1" ht="43.9" customHeight="1">
      <c r="A153" s="1067" t="s">
        <v>599</v>
      </c>
      <c r="B153" s="1523" t="s">
        <v>69</v>
      </c>
      <c r="C153" s="1524"/>
      <c r="D153" s="1524"/>
      <c r="E153" s="1524"/>
      <c r="F153" s="1525"/>
      <c r="G153" s="236">
        <v>217.47</v>
      </c>
      <c r="H153" s="237" t="s">
        <v>96</v>
      </c>
      <c r="I153" s="861">
        <f>Plan1!I165*92%</f>
        <v>39.155200000000001</v>
      </c>
      <c r="J153" s="669">
        <f>ROUND(G153*I153,2)</f>
        <v>8515.08</v>
      </c>
      <c r="K153" s="1137">
        <f>J153</f>
        <v>8515.08</v>
      </c>
      <c r="L153" s="1048" t="s">
        <v>551</v>
      </c>
      <c r="M153" s="792"/>
      <c r="N153" s="866"/>
    </row>
    <row r="154" spans="1:15" s="266" customFormat="1" ht="39.6" customHeight="1">
      <c r="A154" s="1067" t="s">
        <v>77</v>
      </c>
      <c r="B154" s="1660" t="s">
        <v>533</v>
      </c>
      <c r="C154" s="1660"/>
      <c r="D154" s="1660"/>
      <c r="E154" s="1660"/>
      <c r="F154" s="1660"/>
      <c r="G154" s="554">
        <v>250</v>
      </c>
      <c r="H154" s="237" t="s">
        <v>96</v>
      </c>
      <c r="I154" s="861">
        <v>5.76</v>
      </c>
      <c r="J154" s="669">
        <f>ROUND(G154*I154,2)</f>
        <v>1440</v>
      </c>
      <c r="K154" s="1137">
        <v>0</v>
      </c>
      <c r="L154" s="1050" t="s">
        <v>543</v>
      </c>
      <c r="M154" s="792">
        <f>J154</f>
        <v>1440</v>
      </c>
      <c r="N154" s="866"/>
      <c r="O154" s="1254"/>
    </row>
    <row r="155" spans="1:15" s="266" customFormat="1" ht="39.6" customHeight="1">
      <c r="A155" s="1067" t="s">
        <v>600</v>
      </c>
      <c r="B155" s="1660" t="s">
        <v>533</v>
      </c>
      <c r="C155" s="1660"/>
      <c r="D155" s="1660"/>
      <c r="E155" s="1660"/>
      <c r="F155" s="1660"/>
      <c r="G155" s="554">
        <v>217</v>
      </c>
      <c r="H155" s="237" t="s">
        <v>96</v>
      </c>
      <c r="I155" s="861">
        <v>0</v>
      </c>
      <c r="J155" s="669">
        <f>ROUND(G155*I155,2)</f>
        <v>0</v>
      </c>
      <c r="K155" s="1137">
        <v>0</v>
      </c>
      <c r="L155" s="1048" t="s">
        <v>532</v>
      </c>
      <c r="M155" s="792"/>
      <c r="N155" s="866"/>
    </row>
    <row r="156" spans="1:15" s="266" customFormat="1" ht="29.45" customHeight="1">
      <c r="A156" s="1067" t="s">
        <v>337</v>
      </c>
      <c r="B156" s="1642" t="s">
        <v>334</v>
      </c>
      <c r="C156" s="1744"/>
      <c r="D156" s="1744"/>
      <c r="E156" s="1744"/>
      <c r="F156" s="1745"/>
      <c r="G156" s="236">
        <v>15.63</v>
      </c>
      <c r="H156" s="729" t="s">
        <v>92</v>
      </c>
      <c r="I156" s="861">
        <v>635.79999999999995</v>
      </c>
      <c r="J156" s="674">
        <f>SUM(G156*I156)</f>
        <v>9937.5540000000001</v>
      </c>
      <c r="K156" s="1129">
        <f>J156</f>
        <v>9937.5540000000001</v>
      </c>
      <c r="L156" s="1048" t="s">
        <v>609</v>
      </c>
      <c r="M156" s="792"/>
      <c r="N156" s="866"/>
    </row>
    <row r="157" spans="1:15" s="17" customFormat="1" ht="10.9" customHeight="1">
      <c r="A157" s="1075"/>
      <c r="B157" s="966"/>
      <c r="C157" s="967"/>
      <c r="D157" s="967"/>
      <c r="E157" s="967"/>
      <c r="F157" s="968"/>
      <c r="G157" s="201"/>
      <c r="H157" s="583"/>
      <c r="I157" s="641"/>
      <c r="J157" s="674"/>
      <c r="K157" s="1141"/>
      <c r="L157" s="1053"/>
      <c r="M157" s="789"/>
      <c r="N157" s="801"/>
    </row>
    <row r="158" spans="1:15" s="17" customFormat="1" ht="15" customHeight="1">
      <c r="A158" s="1076">
        <v>6</v>
      </c>
      <c r="B158" s="1301" t="s">
        <v>82</v>
      </c>
      <c r="C158" s="1302"/>
      <c r="D158" s="1302"/>
      <c r="E158" s="1302"/>
      <c r="F158" s="1303"/>
      <c r="G158" s="372"/>
      <c r="H158" s="222"/>
      <c r="I158" s="637"/>
      <c r="J158" s="667">
        <f>SUM(J159)</f>
        <v>9200</v>
      </c>
      <c r="K158" s="1134">
        <f>SUM(K159)</f>
        <v>9200</v>
      </c>
      <c r="L158" s="1049"/>
      <c r="M158" s="789"/>
      <c r="N158" s="801"/>
    </row>
    <row r="159" spans="1:15" s="266" customFormat="1" ht="42" customHeight="1">
      <c r="A159" s="1067" t="s">
        <v>81</v>
      </c>
      <c r="B159" s="1514" t="s">
        <v>79</v>
      </c>
      <c r="C159" s="1515"/>
      <c r="D159" s="1515"/>
      <c r="E159" s="1515"/>
      <c r="F159" s="1516"/>
      <c r="G159" s="724">
        <v>1</v>
      </c>
      <c r="H159" s="237" t="s">
        <v>80</v>
      </c>
      <c r="I159" s="861">
        <f>Plan1!I168*92%</f>
        <v>9200</v>
      </c>
      <c r="J159" s="669">
        <f>I159</f>
        <v>9200</v>
      </c>
      <c r="K159" s="1137">
        <f>J159</f>
        <v>9200</v>
      </c>
      <c r="L159" s="1048" t="s">
        <v>551</v>
      </c>
      <c r="M159" s="792"/>
      <c r="N159" s="792">
        <f>SUM(M121:M156)</f>
        <v>151767.82999999999</v>
      </c>
    </row>
    <row r="160" spans="1:15" s="17" customFormat="1" ht="12" customHeight="1">
      <c r="A160" s="1077"/>
      <c r="B160" s="947"/>
      <c r="C160" s="948"/>
      <c r="D160" s="948"/>
      <c r="E160" s="948"/>
      <c r="F160" s="949"/>
      <c r="G160" s="213"/>
      <c r="H160" s="941"/>
      <c r="I160" s="190"/>
      <c r="J160" s="672"/>
      <c r="K160" s="1142"/>
      <c r="L160" s="1052"/>
      <c r="M160" s="789"/>
      <c r="N160" s="801"/>
    </row>
    <row r="161" spans="1:14" s="17" customFormat="1" ht="15" customHeight="1">
      <c r="A161" s="1078"/>
      <c r="B161" s="566"/>
      <c r="C161" s="566"/>
      <c r="D161" s="566"/>
      <c r="E161" s="566"/>
      <c r="F161" s="566"/>
      <c r="G161" s="567"/>
      <c r="H161" s="568" t="s">
        <v>286</v>
      </c>
      <c r="I161" s="642"/>
      <c r="J161" s="725">
        <f>(J120+J128+J134+J137+J145+J158)</f>
        <v>229493.26242523035</v>
      </c>
      <c r="K161" s="1143">
        <f>(K120+K128+K134+K137+K145+K158)</f>
        <v>80136.112425230327</v>
      </c>
      <c r="L161" s="1054"/>
      <c r="M161" s="789"/>
      <c r="N161" s="801"/>
    </row>
    <row r="162" spans="1:14" s="16" customFormat="1" ht="11.45" customHeight="1">
      <c r="A162" s="1079"/>
      <c r="B162" s="938"/>
      <c r="C162" s="938"/>
      <c r="D162" s="938"/>
      <c r="E162" s="938"/>
      <c r="F162" s="938"/>
      <c r="G162" s="939"/>
      <c r="H162" s="943"/>
      <c r="I162" s="529"/>
      <c r="J162" s="676"/>
      <c r="K162" s="1144"/>
      <c r="L162" s="1055"/>
      <c r="M162" s="793"/>
      <c r="N162" s="800"/>
    </row>
    <row r="163" spans="1:14" s="16" customFormat="1" ht="15" customHeight="1">
      <c r="A163" s="1080"/>
      <c r="B163" s="1316" t="s">
        <v>311</v>
      </c>
      <c r="C163" s="1317"/>
      <c r="D163" s="1317"/>
      <c r="E163" s="1317"/>
      <c r="F163" s="1318"/>
      <c r="G163" s="182"/>
      <c r="H163" s="524"/>
      <c r="I163" s="637"/>
      <c r="J163" s="677"/>
      <c r="K163" s="1145"/>
      <c r="L163" s="1056"/>
      <c r="M163" s="793"/>
      <c r="N163" s="800"/>
    </row>
    <row r="164" spans="1:14" s="16" customFormat="1" ht="15" customHeight="1">
      <c r="A164" s="1064">
        <v>1</v>
      </c>
      <c r="B164" s="1301" t="s">
        <v>36</v>
      </c>
      <c r="C164" s="1302"/>
      <c r="D164" s="1302"/>
      <c r="E164" s="1302"/>
      <c r="F164" s="1303"/>
      <c r="G164" s="182"/>
      <c r="H164" s="524"/>
      <c r="I164" s="637"/>
      <c r="J164" s="533">
        <f>J165</f>
        <v>186.32</v>
      </c>
      <c r="K164" s="1146">
        <f>K165</f>
        <v>0</v>
      </c>
      <c r="L164" s="1057"/>
      <c r="M164" s="789"/>
      <c r="N164" s="800"/>
    </row>
    <row r="165" spans="1:14" s="154" customFormat="1" ht="15" customHeight="1">
      <c r="A165" s="1067" t="s">
        <v>37</v>
      </c>
      <c r="B165" s="1523" t="s">
        <v>83</v>
      </c>
      <c r="C165" s="1524"/>
      <c r="D165" s="1524"/>
      <c r="E165" s="1524"/>
      <c r="F165" s="1525"/>
      <c r="G165" s="1021">
        <v>28.89</v>
      </c>
      <c r="H165" s="729" t="s">
        <v>38</v>
      </c>
      <c r="I165" s="861">
        <f>Plan1!I190*92%</f>
        <v>6.4492000000000003</v>
      </c>
      <c r="J165" s="1027">
        <f>ROUND(G165*I165,2)</f>
        <v>186.32</v>
      </c>
      <c r="K165" s="1147">
        <v>0</v>
      </c>
      <c r="L165" s="1050" t="s">
        <v>543</v>
      </c>
      <c r="M165" s="792">
        <f>J165</f>
        <v>186.32</v>
      </c>
      <c r="N165" s="868"/>
    </row>
    <row r="166" spans="1:14" s="16" customFormat="1" ht="10.9" customHeight="1">
      <c r="A166" s="1066"/>
      <c r="B166" s="933"/>
      <c r="C166" s="934"/>
      <c r="D166" s="934"/>
      <c r="E166" s="934"/>
      <c r="F166" s="935"/>
      <c r="G166" s="217"/>
      <c r="H166" s="525"/>
      <c r="I166" s="190"/>
      <c r="J166" s="679"/>
      <c r="K166" s="1148"/>
      <c r="L166" s="1052"/>
      <c r="M166" s="789"/>
      <c r="N166" s="800"/>
    </row>
    <row r="167" spans="1:14" s="16" customFormat="1" ht="15" customHeight="1">
      <c r="A167" s="1064">
        <v>2</v>
      </c>
      <c r="B167" s="1301" t="s">
        <v>91</v>
      </c>
      <c r="C167" s="1302"/>
      <c r="D167" s="1302"/>
      <c r="E167" s="1302"/>
      <c r="F167" s="1303"/>
      <c r="G167" s="221"/>
      <c r="H167" s="526"/>
      <c r="I167" s="638"/>
      <c r="J167" s="533">
        <f>SUM(J168:J173)</f>
        <v>2360.84</v>
      </c>
      <c r="K167" s="1146">
        <f>SUM(K168:K173)</f>
        <v>0</v>
      </c>
      <c r="L167" s="1057"/>
      <c r="M167" s="789"/>
      <c r="N167" s="800"/>
    </row>
    <row r="168" spans="1:14" s="154" customFormat="1" ht="15" customHeight="1">
      <c r="A168" s="1067" t="s">
        <v>84</v>
      </c>
      <c r="B168" s="1514" t="s">
        <v>85</v>
      </c>
      <c r="C168" s="1515"/>
      <c r="D168" s="1515"/>
      <c r="E168" s="1515"/>
      <c r="F168" s="1516"/>
      <c r="G168" s="236">
        <v>2.08</v>
      </c>
      <c r="H168" s="729" t="s">
        <v>51</v>
      </c>
      <c r="I168" s="861">
        <f>Plan1!I193*92%</f>
        <v>28.566000000000003</v>
      </c>
      <c r="J168" s="680">
        <f>ROUND(G168*I168,2)</f>
        <v>59.42</v>
      </c>
      <c r="K168" s="1137">
        <v>0</v>
      </c>
      <c r="L168" s="1732" t="s">
        <v>543</v>
      </c>
      <c r="M168" s="792">
        <f>J168</f>
        <v>59.42</v>
      </c>
      <c r="N168" s="868"/>
    </row>
    <row r="169" spans="1:14" s="154" customFormat="1" ht="15" customHeight="1">
      <c r="A169" s="1067" t="s">
        <v>43</v>
      </c>
      <c r="B169" s="1741" t="s">
        <v>49</v>
      </c>
      <c r="C169" s="1742"/>
      <c r="D169" s="1742"/>
      <c r="E169" s="1742"/>
      <c r="F169" s="1743"/>
      <c r="G169" s="1028">
        <v>27</v>
      </c>
      <c r="H169" s="729" t="s">
        <v>52</v>
      </c>
      <c r="I169" s="861">
        <f>Plan1!I194*92%</f>
        <v>33.129199999999997</v>
      </c>
      <c r="J169" s="680">
        <f t="shared" ref="J169:J173" si="8">ROUND(G169*I169,2)</f>
        <v>894.49</v>
      </c>
      <c r="K169" s="1137">
        <v>0</v>
      </c>
      <c r="L169" s="1733"/>
      <c r="M169" s="792">
        <f t="shared" ref="M169:M173" si="9">J169</f>
        <v>894.49</v>
      </c>
      <c r="N169" s="868"/>
    </row>
    <row r="170" spans="1:14" s="154" customFormat="1" ht="15" customHeight="1">
      <c r="A170" s="1067" t="s">
        <v>240</v>
      </c>
      <c r="B170" s="964" t="s">
        <v>86</v>
      </c>
      <c r="C170" s="945"/>
      <c r="D170" s="945"/>
      <c r="E170" s="945"/>
      <c r="F170" s="1029"/>
      <c r="G170" s="236">
        <v>0.16</v>
      </c>
      <c r="H170" s="729" t="s">
        <v>92</v>
      </c>
      <c r="I170" s="861">
        <f>Plan1!I195*92%</f>
        <v>88.384399999999999</v>
      </c>
      <c r="J170" s="680">
        <f t="shared" si="8"/>
        <v>14.14</v>
      </c>
      <c r="K170" s="1137">
        <v>0</v>
      </c>
      <c r="L170" s="1733"/>
      <c r="M170" s="792">
        <f t="shared" si="9"/>
        <v>14.14</v>
      </c>
      <c r="N170" s="868"/>
    </row>
    <row r="171" spans="1:14" s="154" customFormat="1" ht="15" customHeight="1">
      <c r="A171" s="1067" t="s">
        <v>45</v>
      </c>
      <c r="B171" s="1030" t="s">
        <v>87</v>
      </c>
      <c r="C171" s="945"/>
      <c r="D171" s="945"/>
      <c r="E171" s="945"/>
      <c r="F171" s="1029"/>
      <c r="G171" s="236">
        <v>172.8</v>
      </c>
      <c r="H171" s="530" t="s">
        <v>50</v>
      </c>
      <c r="I171" s="861">
        <f>Plan1!I196*92%</f>
        <v>4.6092000000000004</v>
      </c>
      <c r="J171" s="680">
        <f t="shared" si="8"/>
        <v>796.47</v>
      </c>
      <c r="K171" s="1137">
        <v>0</v>
      </c>
      <c r="L171" s="1733"/>
      <c r="M171" s="792">
        <f t="shared" si="9"/>
        <v>796.47</v>
      </c>
      <c r="N171" s="868"/>
    </row>
    <row r="172" spans="1:14" s="154" customFormat="1" ht="15" customHeight="1">
      <c r="A172" s="1067" t="s">
        <v>47</v>
      </c>
      <c r="B172" s="1030" t="s">
        <v>89</v>
      </c>
      <c r="C172" s="945"/>
      <c r="D172" s="945"/>
      <c r="E172" s="945"/>
      <c r="F172" s="1029"/>
      <c r="G172" s="236">
        <v>1.92</v>
      </c>
      <c r="H172" s="530" t="s">
        <v>51</v>
      </c>
      <c r="I172" s="861">
        <f>Plan1!I197*92%</f>
        <v>230.39560000000003</v>
      </c>
      <c r="J172" s="680">
        <f t="shared" si="8"/>
        <v>442.36</v>
      </c>
      <c r="K172" s="1137">
        <v>0</v>
      </c>
      <c r="L172" s="1733"/>
      <c r="M172" s="792">
        <f t="shared" si="9"/>
        <v>442.36</v>
      </c>
      <c r="N172" s="868"/>
    </row>
    <row r="173" spans="1:14" s="154" customFormat="1" ht="15" customHeight="1">
      <c r="A173" s="1067" t="s">
        <v>48</v>
      </c>
      <c r="B173" s="964" t="s">
        <v>90</v>
      </c>
      <c r="C173" s="945"/>
      <c r="D173" s="945"/>
      <c r="E173" s="945"/>
      <c r="F173" s="1029"/>
      <c r="G173" s="236">
        <v>1.92</v>
      </c>
      <c r="H173" s="729" t="s">
        <v>51</v>
      </c>
      <c r="I173" s="861">
        <f>Plan1!I198*92%</f>
        <v>80.187200000000004</v>
      </c>
      <c r="J173" s="680">
        <f t="shared" si="8"/>
        <v>153.96</v>
      </c>
      <c r="K173" s="1137">
        <v>0</v>
      </c>
      <c r="L173" s="1734"/>
      <c r="M173" s="792">
        <f t="shared" si="9"/>
        <v>153.96</v>
      </c>
      <c r="N173" s="868"/>
    </row>
    <row r="174" spans="1:14" s="16" customFormat="1" ht="15" customHeight="1">
      <c r="A174" s="1069">
        <v>3</v>
      </c>
      <c r="B174" s="1301" t="s">
        <v>315</v>
      </c>
      <c r="C174" s="1302"/>
      <c r="D174" s="1302"/>
      <c r="E174" s="1302"/>
      <c r="F174" s="1303"/>
      <c r="G174" s="372"/>
      <c r="H174" s="526"/>
      <c r="I174" s="640"/>
      <c r="J174" s="693">
        <f>SUM(J175:J179)</f>
        <v>7643.01</v>
      </c>
      <c r="K174" s="1149">
        <f>SUM(K175:K179)</f>
        <v>7075.64</v>
      </c>
      <c r="L174" s="1049"/>
      <c r="M174" s="789"/>
      <c r="N174" s="800"/>
    </row>
    <row r="175" spans="1:14" s="154" customFormat="1" ht="28.9" customHeight="1">
      <c r="A175" s="1067" t="s">
        <v>54</v>
      </c>
      <c r="B175" s="1660" t="s">
        <v>93</v>
      </c>
      <c r="C175" s="1660"/>
      <c r="D175" s="1660"/>
      <c r="E175" s="1660"/>
      <c r="F175" s="1660"/>
      <c r="G175" s="236">
        <v>48.65</v>
      </c>
      <c r="H175" s="530" t="s">
        <v>96</v>
      </c>
      <c r="I175" s="861">
        <v>1.49</v>
      </c>
      <c r="J175" s="727">
        <f>ROUND(G175*I175,2)</f>
        <v>72.489999999999995</v>
      </c>
      <c r="K175" s="1137">
        <v>0</v>
      </c>
      <c r="L175" s="1050" t="s">
        <v>543</v>
      </c>
      <c r="M175" s="792">
        <f>J175</f>
        <v>72.489999999999995</v>
      </c>
      <c r="N175" s="868"/>
    </row>
    <row r="176" spans="1:14" s="154" customFormat="1" ht="28.9" customHeight="1">
      <c r="A176" s="1067" t="s">
        <v>601</v>
      </c>
      <c r="B176" s="1660" t="s">
        <v>93</v>
      </c>
      <c r="C176" s="1660"/>
      <c r="D176" s="1660"/>
      <c r="E176" s="1660"/>
      <c r="F176" s="1660"/>
      <c r="G176" s="236">
        <v>106.24</v>
      </c>
      <c r="H176" s="530" t="s">
        <v>96</v>
      </c>
      <c r="I176" s="861">
        <v>3.2</v>
      </c>
      <c r="J176" s="727">
        <f>ROUND(G176*I176,2)</f>
        <v>339.97</v>
      </c>
      <c r="K176" s="1137">
        <f>J176</f>
        <v>339.97</v>
      </c>
      <c r="L176" s="1048" t="s">
        <v>604</v>
      </c>
      <c r="M176" s="792"/>
      <c r="N176" s="868"/>
    </row>
    <row r="177" spans="1:14" s="154" customFormat="1" ht="28.9" customHeight="1">
      <c r="A177" s="1067" t="s">
        <v>95</v>
      </c>
      <c r="B177" s="1660" t="s">
        <v>94</v>
      </c>
      <c r="C177" s="1660"/>
      <c r="D177" s="1660"/>
      <c r="E177" s="1660"/>
      <c r="F177" s="1660"/>
      <c r="G177" s="236">
        <v>2.4500000000000002</v>
      </c>
      <c r="H177" s="530" t="s">
        <v>92</v>
      </c>
      <c r="I177" s="861">
        <v>201.99</v>
      </c>
      <c r="J177" s="727">
        <f>ROUND(G177*I177,2)</f>
        <v>494.88</v>
      </c>
      <c r="K177" s="1137">
        <v>0</v>
      </c>
      <c r="L177" s="1050" t="s">
        <v>543</v>
      </c>
      <c r="M177" s="792">
        <f>J177</f>
        <v>494.88</v>
      </c>
      <c r="N177" s="868"/>
    </row>
    <row r="178" spans="1:14" s="154" customFormat="1" ht="28.9" customHeight="1">
      <c r="A178" s="1067" t="s">
        <v>602</v>
      </c>
      <c r="B178" s="1660" t="s">
        <v>94</v>
      </c>
      <c r="C178" s="1660"/>
      <c r="D178" s="1660"/>
      <c r="E178" s="1660"/>
      <c r="F178" s="1660"/>
      <c r="G178" s="236">
        <v>6.38</v>
      </c>
      <c r="H178" s="530" t="s">
        <v>92</v>
      </c>
      <c r="I178" s="861">
        <v>685.45</v>
      </c>
      <c r="J178" s="727">
        <f>ROUND(G178*I178,2)</f>
        <v>4373.17</v>
      </c>
      <c r="K178" s="1137">
        <f>J178</f>
        <v>4373.17</v>
      </c>
      <c r="L178" s="1048" t="s">
        <v>610</v>
      </c>
      <c r="M178" s="792"/>
      <c r="N178" s="868"/>
    </row>
    <row r="179" spans="1:14" s="154" customFormat="1" ht="28.9" customHeight="1">
      <c r="A179" s="1067" t="s">
        <v>97</v>
      </c>
      <c r="B179" s="1660" t="s">
        <v>542</v>
      </c>
      <c r="C179" s="1660"/>
      <c r="D179" s="1660"/>
      <c r="E179" s="1660"/>
      <c r="F179" s="1660"/>
      <c r="G179" s="236">
        <v>126</v>
      </c>
      <c r="H179" s="530" t="s">
        <v>96</v>
      </c>
      <c r="I179" s="861">
        <v>18.75</v>
      </c>
      <c r="J179" s="727">
        <f>SUM(G179*I179)</f>
        <v>2362.5</v>
      </c>
      <c r="K179" s="1137">
        <f>J179</f>
        <v>2362.5</v>
      </c>
      <c r="L179" s="1048" t="s">
        <v>611</v>
      </c>
      <c r="M179" s="792"/>
      <c r="N179" s="868"/>
    </row>
    <row r="180" spans="1:14" s="16" customFormat="1" ht="13.9" customHeight="1">
      <c r="A180" s="1081"/>
      <c r="B180" s="957"/>
      <c r="C180" s="958"/>
      <c r="D180" s="958"/>
      <c r="E180" s="958"/>
      <c r="F180" s="959"/>
      <c r="G180" s="205"/>
      <c r="H180" s="525"/>
      <c r="I180" s="641"/>
      <c r="J180" s="695"/>
      <c r="K180" s="1150"/>
      <c r="L180" s="1052"/>
      <c r="M180" s="789"/>
      <c r="N180" s="800"/>
    </row>
    <row r="181" spans="1:14" s="16" customFormat="1" ht="13.15" customHeight="1">
      <c r="A181" s="1069">
        <v>4</v>
      </c>
      <c r="B181" s="1301" t="s">
        <v>98</v>
      </c>
      <c r="C181" s="1302"/>
      <c r="D181" s="1302"/>
      <c r="E181" s="1302"/>
      <c r="F181" s="1303"/>
      <c r="G181" s="372"/>
      <c r="H181" s="526"/>
      <c r="I181" s="640"/>
      <c r="J181" s="693">
        <f>SUM(J182:J184)</f>
        <v>6543.24</v>
      </c>
      <c r="K181" s="1131">
        <f>SUM(K182:K184)</f>
        <v>0</v>
      </c>
      <c r="L181" s="1049"/>
      <c r="M181" s="789"/>
      <c r="N181" s="800"/>
    </row>
    <row r="182" spans="1:14" s="154" customFormat="1" ht="15" customHeight="1">
      <c r="A182" s="1082" t="s">
        <v>58</v>
      </c>
      <c r="B182" s="1523" t="s">
        <v>313</v>
      </c>
      <c r="C182" s="1524"/>
      <c r="D182" s="1524"/>
      <c r="E182" s="1524"/>
      <c r="F182" s="1525"/>
      <c r="G182" s="236">
        <v>69</v>
      </c>
      <c r="H182" s="530" t="s">
        <v>96</v>
      </c>
      <c r="I182" s="861">
        <f>Plan1!I205*92%</f>
        <v>46.368000000000002</v>
      </c>
      <c r="J182" s="727">
        <f>ROUND(G182*I182,2)</f>
        <v>3199.39</v>
      </c>
      <c r="K182" s="1137">
        <v>0</v>
      </c>
      <c r="L182" s="1732" t="s">
        <v>543</v>
      </c>
      <c r="M182" s="792">
        <f>J182</f>
        <v>3199.39</v>
      </c>
      <c r="N182" s="868"/>
    </row>
    <row r="183" spans="1:14" s="154" customFormat="1" ht="15" customHeight="1">
      <c r="A183" s="1082" t="s">
        <v>59</v>
      </c>
      <c r="B183" s="1523" t="s">
        <v>99</v>
      </c>
      <c r="C183" s="1524"/>
      <c r="D183" s="1524"/>
      <c r="E183" s="1524"/>
      <c r="F183" s="1525"/>
      <c r="G183" s="236">
        <v>2.2599999999999998</v>
      </c>
      <c r="H183" s="530" t="s">
        <v>92</v>
      </c>
      <c r="I183" s="861">
        <f>Plan1!I206*92%</f>
        <v>839.84040000000005</v>
      </c>
      <c r="J183" s="727">
        <f t="shared" ref="J183:J184" si="10">ROUND(G183*I183,2)</f>
        <v>1898.04</v>
      </c>
      <c r="K183" s="1137">
        <v>0</v>
      </c>
      <c r="L183" s="1733"/>
      <c r="M183" s="792">
        <f t="shared" ref="M183:M184" si="11">J183</f>
        <v>1898.04</v>
      </c>
      <c r="N183" s="868"/>
    </row>
    <row r="184" spans="1:14" s="154" customFormat="1" ht="15" customHeight="1">
      <c r="A184" s="1082" t="s">
        <v>60</v>
      </c>
      <c r="B184" s="1523" t="s">
        <v>323</v>
      </c>
      <c r="C184" s="1524"/>
      <c r="D184" s="1524"/>
      <c r="E184" s="1524"/>
      <c r="F184" s="1525"/>
      <c r="G184" s="236">
        <v>15.35</v>
      </c>
      <c r="H184" s="530" t="s">
        <v>96</v>
      </c>
      <c r="I184" s="861">
        <f>Plan1!I207*92%</f>
        <v>94.189599999999999</v>
      </c>
      <c r="J184" s="727">
        <f t="shared" si="10"/>
        <v>1445.81</v>
      </c>
      <c r="K184" s="1137">
        <v>0</v>
      </c>
      <c r="L184" s="1734"/>
      <c r="M184" s="792">
        <f t="shared" si="11"/>
        <v>1445.81</v>
      </c>
      <c r="N184" s="868"/>
    </row>
    <row r="185" spans="1:14" s="16" customFormat="1" ht="12" customHeight="1">
      <c r="A185" s="1083"/>
      <c r="B185" s="922"/>
      <c r="C185" s="938"/>
      <c r="D185" s="938"/>
      <c r="E185" s="938"/>
      <c r="F185" s="923"/>
      <c r="G185" s="937"/>
      <c r="H185" s="942"/>
      <c r="I185" s="190"/>
      <c r="J185" s="289"/>
      <c r="K185" s="1151"/>
      <c r="L185" s="1051"/>
      <c r="M185" s="789"/>
      <c r="N185" s="800"/>
    </row>
    <row r="186" spans="1:14" s="16" customFormat="1" ht="13.9" customHeight="1">
      <c r="A186" s="1084">
        <v>5</v>
      </c>
      <c r="B186" s="1310" t="s">
        <v>100</v>
      </c>
      <c r="C186" s="1311"/>
      <c r="D186" s="1311"/>
      <c r="E186" s="1311"/>
      <c r="F186" s="1312"/>
      <c r="G186" s="182"/>
      <c r="H186" s="524"/>
      <c r="I186" s="638"/>
      <c r="J186" s="696">
        <f>J187</f>
        <v>2012.28</v>
      </c>
      <c r="K186" s="1131">
        <f>K187</f>
        <v>0</v>
      </c>
      <c r="L186" s="1049"/>
      <c r="M186" s="789"/>
      <c r="N186" s="800"/>
    </row>
    <row r="187" spans="1:14" s="154" customFormat="1" ht="27.6" customHeight="1">
      <c r="A187" s="1067" t="s">
        <v>71</v>
      </c>
      <c r="B187" s="1514" t="s">
        <v>101</v>
      </c>
      <c r="C187" s="1515"/>
      <c r="D187" s="1515"/>
      <c r="E187" s="1515"/>
      <c r="F187" s="1516"/>
      <c r="G187" s="1018">
        <v>28.89</v>
      </c>
      <c r="H187" s="530" t="s">
        <v>38</v>
      </c>
      <c r="I187" s="861">
        <f>Plan1!I210*92%</f>
        <v>69.653199999999998</v>
      </c>
      <c r="J187" s="697">
        <f>ROUND(G187*I187,2)</f>
        <v>2012.28</v>
      </c>
      <c r="K187" s="1137">
        <v>0</v>
      </c>
      <c r="L187" s="1050" t="s">
        <v>543</v>
      </c>
      <c r="M187" s="792">
        <f>J187</f>
        <v>2012.28</v>
      </c>
      <c r="N187" s="868"/>
    </row>
    <row r="188" spans="1:14" s="16" customFormat="1" ht="14.45" customHeight="1">
      <c r="A188" s="1077"/>
      <c r="B188" s="947"/>
      <c r="C188" s="948"/>
      <c r="D188" s="948"/>
      <c r="E188" s="948"/>
      <c r="F188" s="949"/>
      <c r="G188" s="184"/>
      <c r="H188" s="942"/>
      <c r="I188" s="529"/>
      <c r="J188" s="697"/>
      <c r="K188" s="1152"/>
      <c r="L188" s="1058"/>
      <c r="M188" s="789"/>
      <c r="N188" s="800"/>
    </row>
    <row r="189" spans="1:14" s="16" customFormat="1" ht="13.15" customHeight="1">
      <c r="A189" s="1069">
        <v>6</v>
      </c>
      <c r="B189" s="1301" t="s">
        <v>102</v>
      </c>
      <c r="C189" s="1302"/>
      <c r="D189" s="1302"/>
      <c r="E189" s="1302"/>
      <c r="F189" s="1303"/>
      <c r="G189" s="372"/>
      <c r="H189" s="526"/>
      <c r="I189" s="640"/>
      <c r="J189" s="532">
        <f>SUM(J190:J192)</f>
        <v>4477.58</v>
      </c>
      <c r="K189" s="1131">
        <f>SUM(K190:K192)</f>
        <v>0</v>
      </c>
      <c r="L189" s="1049"/>
      <c r="M189" s="789"/>
      <c r="N189" s="800"/>
    </row>
    <row r="190" spans="1:14" s="154" customFormat="1" ht="15" customHeight="1">
      <c r="A190" s="1067" t="s">
        <v>81</v>
      </c>
      <c r="B190" s="964" t="s">
        <v>103</v>
      </c>
      <c r="C190" s="946"/>
      <c r="D190" s="946"/>
      <c r="E190" s="946"/>
      <c r="F190" s="1031"/>
      <c r="G190" s="554">
        <v>43.23</v>
      </c>
      <c r="H190" s="530" t="s">
        <v>38</v>
      </c>
      <c r="I190" s="861">
        <f>Plan1!I213*92%</f>
        <v>70.720400000000012</v>
      </c>
      <c r="J190" s="690">
        <f>ROUND(G190*I190,2)</f>
        <v>3057.24</v>
      </c>
      <c r="K190" s="1137">
        <v>0</v>
      </c>
      <c r="L190" s="1732" t="s">
        <v>543</v>
      </c>
      <c r="M190" s="792">
        <f>J190</f>
        <v>3057.24</v>
      </c>
      <c r="N190" s="868"/>
    </row>
    <row r="191" spans="1:14" s="154" customFormat="1" ht="15" customHeight="1">
      <c r="A191" s="1082" t="s">
        <v>104</v>
      </c>
      <c r="B191" s="1030" t="s">
        <v>105</v>
      </c>
      <c r="C191" s="1032"/>
      <c r="D191" s="1032"/>
      <c r="E191" s="1032"/>
      <c r="F191" s="1033"/>
      <c r="G191" s="236">
        <v>43.23</v>
      </c>
      <c r="H191" s="729" t="s">
        <v>38</v>
      </c>
      <c r="I191" s="861">
        <f>Plan1!I214*92%</f>
        <v>30.737199999999998</v>
      </c>
      <c r="J191" s="690">
        <f>ROUND(G191*I191,2)</f>
        <v>1328.77</v>
      </c>
      <c r="K191" s="1137">
        <v>0</v>
      </c>
      <c r="L191" s="1733"/>
      <c r="M191" s="792">
        <f t="shared" ref="M191:M192" si="12">J191</f>
        <v>1328.77</v>
      </c>
      <c r="N191" s="868"/>
    </row>
    <row r="192" spans="1:14" s="154" customFormat="1" ht="27" customHeight="1">
      <c r="A192" s="1067" t="s">
        <v>106</v>
      </c>
      <c r="B192" s="1514" t="s">
        <v>107</v>
      </c>
      <c r="C192" s="1515"/>
      <c r="D192" s="1515"/>
      <c r="E192" s="1515"/>
      <c r="F192" s="1516"/>
      <c r="G192" s="554">
        <v>6.6</v>
      </c>
      <c r="H192" s="530" t="s">
        <v>52</v>
      </c>
      <c r="I192" s="861">
        <f>Plan1!I215*92%</f>
        <v>13.873600000000001</v>
      </c>
      <c r="J192" s="690">
        <f>ROUND(G192*I192,2)</f>
        <v>91.57</v>
      </c>
      <c r="K192" s="1137">
        <v>0</v>
      </c>
      <c r="L192" s="1734"/>
      <c r="M192" s="792">
        <f t="shared" si="12"/>
        <v>91.57</v>
      </c>
      <c r="N192" s="868"/>
    </row>
    <row r="193" spans="1:14" s="16" customFormat="1" ht="12.6" customHeight="1">
      <c r="A193" s="1083"/>
      <c r="B193" s="922"/>
      <c r="C193" s="938"/>
      <c r="D193" s="938"/>
      <c r="E193" s="938"/>
      <c r="F193" s="923"/>
      <c r="G193" s="937"/>
      <c r="H193" s="942"/>
      <c r="I193" s="190"/>
      <c r="J193" s="289"/>
      <c r="K193" s="1151"/>
      <c r="L193" s="1051"/>
      <c r="M193" s="789"/>
      <c r="N193" s="800"/>
    </row>
    <row r="194" spans="1:14" s="16" customFormat="1" ht="13.15" customHeight="1">
      <c r="A194" s="1064">
        <v>7</v>
      </c>
      <c r="B194" s="1322" t="s">
        <v>78</v>
      </c>
      <c r="C194" s="1322"/>
      <c r="D194" s="1322"/>
      <c r="E194" s="1322"/>
      <c r="F194" s="1322"/>
      <c r="G194" s="182"/>
      <c r="H194" s="524"/>
      <c r="I194" s="638"/>
      <c r="J194" s="532">
        <f>SUM(J195:J199)</f>
        <v>5231.8900000000003</v>
      </c>
      <c r="K194" s="1131">
        <f>SUM(K195:K199)</f>
        <v>0</v>
      </c>
      <c r="L194" s="1049"/>
      <c r="M194" s="789"/>
      <c r="N194" s="800"/>
    </row>
    <row r="195" spans="1:14" s="154" customFormat="1" ht="15" customHeight="1">
      <c r="A195" s="1067" t="s">
        <v>108</v>
      </c>
      <c r="B195" s="1661" t="s">
        <v>65</v>
      </c>
      <c r="C195" s="1661"/>
      <c r="D195" s="1661"/>
      <c r="E195" s="1661"/>
      <c r="F195" s="1661"/>
      <c r="G195" s="554">
        <f>G182*2</f>
        <v>138</v>
      </c>
      <c r="H195" s="530" t="s">
        <v>38</v>
      </c>
      <c r="I195" s="861">
        <f>Plan1!I218*92%</f>
        <v>3.5420000000000003</v>
      </c>
      <c r="J195" s="690">
        <f>ROUND(G195*I195,2)</f>
        <v>488.8</v>
      </c>
      <c r="K195" s="1137">
        <v>0</v>
      </c>
      <c r="L195" s="1732" t="s">
        <v>543</v>
      </c>
      <c r="M195" s="792">
        <f>J195</f>
        <v>488.8</v>
      </c>
      <c r="N195" s="868"/>
    </row>
    <row r="196" spans="1:14" s="154" customFormat="1" ht="15" customHeight="1">
      <c r="A196" s="1082" t="s">
        <v>109</v>
      </c>
      <c r="B196" s="1738" t="s">
        <v>66</v>
      </c>
      <c r="C196" s="1738"/>
      <c r="D196" s="1738"/>
      <c r="E196" s="1738"/>
      <c r="F196" s="1738"/>
      <c r="G196" s="236">
        <f>G195</f>
        <v>138</v>
      </c>
      <c r="H196" s="729" t="s">
        <v>38</v>
      </c>
      <c r="I196" s="861">
        <f>Plan1!I219*92%</f>
        <v>10.4604</v>
      </c>
      <c r="J196" s="690">
        <f>ROUND(G196*I196,2)</f>
        <v>1443.54</v>
      </c>
      <c r="K196" s="1137">
        <v>0</v>
      </c>
      <c r="L196" s="1733"/>
      <c r="M196" s="792">
        <f t="shared" ref="M196:M199" si="13">J196</f>
        <v>1443.54</v>
      </c>
      <c r="N196" s="868"/>
    </row>
    <row r="197" spans="1:14" s="154" customFormat="1" ht="28.15" customHeight="1">
      <c r="A197" s="1065" t="s">
        <v>110</v>
      </c>
      <c r="B197" s="1739" t="s">
        <v>111</v>
      </c>
      <c r="C197" s="1739"/>
      <c r="D197" s="1739"/>
      <c r="E197" s="1739"/>
      <c r="F197" s="1739"/>
      <c r="G197" s="1034">
        <f>G187</f>
        <v>28.89</v>
      </c>
      <c r="H197" s="1035" t="s">
        <v>64</v>
      </c>
      <c r="I197" s="861">
        <f>Plan1!I220*92%</f>
        <v>80.610400000000013</v>
      </c>
      <c r="J197" s="690">
        <f>ROUND(G197*I197,2)</f>
        <v>2328.83</v>
      </c>
      <c r="K197" s="1137">
        <v>0</v>
      </c>
      <c r="L197" s="1733"/>
      <c r="M197" s="792">
        <f t="shared" si="13"/>
        <v>2328.83</v>
      </c>
      <c r="N197" s="868"/>
    </row>
    <row r="198" spans="1:14" s="154" customFormat="1" ht="27" customHeight="1">
      <c r="A198" s="1067" t="s">
        <v>112</v>
      </c>
      <c r="B198" s="1660" t="s">
        <v>113</v>
      </c>
      <c r="C198" s="1660"/>
      <c r="D198" s="1660"/>
      <c r="E198" s="1660"/>
      <c r="F198" s="1660"/>
      <c r="G198" s="554">
        <v>32.1</v>
      </c>
      <c r="H198" s="237" t="s">
        <v>38</v>
      </c>
      <c r="I198" s="861">
        <f>Plan1!I221*92%</f>
        <v>25.198800000000002</v>
      </c>
      <c r="J198" s="690">
        <f>ROUND(G198*I198,2)</f>
        <v>808.88</v>
      </c>
      <c r="K198" s="1137">
        <v>0</v>
      </c>
      <c r="L198" s="1733"/>
      <c r="M198" s="792">
        <f t="shared" si="13"/>
        <v>808.88</v>
      </c>
      <c r="N198" s="868"/>
    </row>
    <row r="199" spans="1:14" s="154" customFormat="1" ht="28.9" customHeight="1">
      <c r="A199" s="1082" t="s">
        <v>114</v>
      </c>
      <c r="B199" s="1740" t="s">
        <v>115</v>
      </c>
      <c r="C199" s="1740"/>
      <c r="D199" s="1740"/>
      <c r="E199" s="1740"/>
      <c r="F199" s="1740"/>
      <c r="G199" s="236">
        <v>32.1</v>
      </c>
      <c r="H199" s="732" t="s">
        <v>38</v>
      </c>
      <c r="I199" s="861">
        <f>Plan1!I224*92%</f>
        <v>5.0416000000000007</v>
      </c>
      <c r="J199" s="690">
        <f>ROUND(G199*I199,2)</f>
        <v>161.84</v>
      </c>
      <c r="K199" s="1137">
        <v>0</v>
      </c>
      <c r="L199" s="1734"/>
      <c r="M199" s="792">
        <f t="shared" si="13"/>
        <v>161.84</v>
      </c>
      <c r="N199" s="868"/>
    </row>
    <row r="200" spans="1:14" s="16" customFormat="1" ht="11.45" customHeight="1">
      <c r="A200" s="1070"/>
      <c r="B200" s="253"/>
      <c r="C200" s="962"/>
      <c r="D200" s="962"/>
      <c r="E200" s="962"/>
      <c r="F200" s="299"/>
      <c r="G200" s="937"/>
      <c r="H200" s="941"/>
      <c r="I200" s="190"/>
      <c r="J200" s="699"/>
      <c r="K200" s="1153"/>
      <c r="L200" s="1051"/>
      <c r="M200" s="789"/>
      <c r="N200" s="800"/>
    </row>
    <row r="201" spans="1:14" s="16" customFormat="1" ht="14.45" customHeight="1">
      <c r="A201" s="1064">
        <v>8</v>
      </c>
      <c r="B201" s="1322" t="s">
        <v>116</v>
      </c>
      <c r="C201" s="1322"/>
      <c r="D201" s="1322"/>
      <c r="E201" s="1322"/>
      <c r="F201" s="1322"/>
      <c r="G201" s="182"/>
      <c r="H201" s="189"/>
      <c r="I201" s="643"/>
      <c r="J201" s="532">
        <f>SUM(J202:J216)</f>
        <v>8913.07</v>
      </c>
      <c r="K201" s="1131">
        <f>SUM(K202:K217)</f>
        <v>8532.52</v>
      </c>
      <c r="L201" s="1049"/>
      <c r="M201" s="789"/>
      <c r="N201" s="800"/>
    </row>
    <row r="202" spans="1:14" s="154" customFormat="1" ht="25.9" customHeight="1">
      <c r="A202" s="1067" t="s">
        <v>117</v>
      </c>
      <c r="B202" s="1660" t="s">
        <v>118</v>
      </c>
      <c r="C202" s="1660"/>
      <c r="D202" s="1660"/>
      <c r="E202" s="1660"/>
      <c r="F202" s="1660"/>
      <c r="G202" s="236">
        <v>1</v>
      </c>
      <c r="H202" s="530" t="s">
        <v>80</v>
      </c>
      <c r="I202" s="861">
        <f>Plan1!I227*92%</f>
        <v>324.6404</v>
      </c>
      <c r="J202" s="690">
        <f>ROUND(G202*I202,2)</f>
        <v>324.64</v>
      </c>
      <c r="K202" s="1137">
        <v>0</v>
      </c>
      <c r="L202" s="1050" t="s">
        <v>543</v>
      </c>
      <c r="M202" s="792">
        <f>J202</f>
        <v>324.64</v>
      </c>
      <c r="N202" s="868"/>
    </row>
    <row r="203" spans="1:14" s="154" customFormat="1" ht="28.15" customHeight="1">
      <c r="A203" s="1067" t="s">
        <v>119</v>
      </c>
      <c r="B203" s="1661" t="s">
        <v>120</v>
      </c>
      <c r="C203" s="1661"/>
      <c r="D203" s="1661"/>
      <c r="E203" s="1661"/>
      <c r="F203" s="1661"/>
      <c r="G203" s="236">
        <v>5</v>
      </c>
      <c r="H203" s="530" t="s">
        <v>50</v>
      </c>
      <c r="I203" s="861">
        <v>112.03</v>
      </c>
      <c r="J203" s="690">
        <f t="shared" ref="J203:J215" si="14">ROUND(G203*I203,2)</f>
        <v>560.15</v>
      </c>
      <c r="K203" s="1137">
        <f>J203</f>
        <v>560.15</v>
      </c>
      <c r="L203" s="1048" t="s">
        <v>612</v>
      </c>
      <c r="M203" s="792"/>
      <c r="N203" s="868"/>
    </row>
    <row r="204" spans="1:14" s="154" customFormat="1" ht="15" customHeight="1">
      <c r="A204" s="1067" t="s">
        <v>121</v>
      </c>
      <c r="B204" s="1661" t="s">
        <v>122</v>
      </c>
      <c r="C204" s="1661"/>
      <c r="D204" s="1661"/>
      <c r="E204" s="1661"/>
      <c r="F204" s="1661"/>
      <c r="G204" s="236">
        <v>10</v>
      </c>
      <c r="H204" s="530" t="s">
        <v>80</v>
      </c>
      <c r="I204" s="861">
        <f>Plan1!I229*92%</f>
        <v>7.3323999999999998</v>
      </c>
      <c r="J204" s="690">
        <f t="shared" si="14"/>
        <v>73.319999999999993</v>
      </c>
      <c r="K204" s="1137">
        <v>0</v>
      </c>
      <c r="L204" s="1050" t="s">
        <v>543</v>
      </c>
      <c r="M204" s="792">
        <f>J204</f>
        <v>73.319999999999993</v>
      </c>
      <c r="N204" s="868"/>
    </row>
    <row r="205" spans="1:14" s="154" customFormat="1" ht="15" customHeight="1">
      <c r="A205" s="1067" t="s">
        <v>123</v>
      </c>
      <c r="B205" s="1661" t="s">
        <v>124</v>
      </c>
      <c r="C205" s="1661"/>
      <c r="D205" s="1661"/>
      <c r="E205" s="1661"/>
      <c r="F205" s="1661"/>
      <c r="G205" s="236">
        <v>2</v>
      </c>
      <c r="H205" s="530" t="s">
        <v>80</v>
      </c>
      <c r="I205" s="861">
        <f>Plan1!I230*92%</f>
        <v>8.7032000000000007</v>
      </c>
      <c r="J205" s="690">
        <f t="shared" si="14"/>
        <v>17.41</v>
      </c>
      <c r="K205" s="1137">
        <v>0</v>
      </c>
      <c r="L205" s="1050" t="s">
        <v>543</v>
      </c>
      <c r="M205" s="792">
        <f t="shared" ref="M205:M206" si="15">J205</f>
        <v>17.41</v>
      </c>
      <c r="N205" s="868"/>
    </row>
    <row r="206" spans="1:14" s="154" customFormat="1" ht="15" customHeight="1">
      <c r="A206" s="1067" t="s">
        <v>125</v>
      </c>
      <c r="B206" s="1661" t="s">
        <v>126</v>
      </c>
      <c r="C206" s="1661"/>
      <c r="D206" s="1661"/>
      <c r="E206" s="1661"/>
      <c r="F206" s="1661"/>
      <c r="G206" s="236">
        <v>100</v>
      </c>
      <c r="H206" s="530" t="s">
        <v>52</v>
      </c>
      <c r="I206" s="861">
        <v>8.08</v>
      </c>
      <c r="J206" s="690">
        <f>ROUND(G206*I206,2)</f>
        <v>808</v>
      </c>
      <c r="K206" s="1137">
        <v>0</v>
      </c>
      <c r="L206" s="1050" t="s">
        <v>543</v>
      </c>
      <c r="M206" s="792">
        <f t="shared" si="15"/>
        <v>808</v>
      </c>
      <c r="N206" s="868"/>
    </row>
    <row r="207" spans="1:14" s="154" customFormat="1" ht="31.9" customHeight="1">
      <c r="A207" s="1067" t="s">
        <v>603</v>
      </c>
      <c r="B207" s="1661" t="s">
        <v>126</v>
      </c>
      <c r="C207" s="1661"/>
      <c r="D207" s="1661"/>
      <c r="E207" s="1661"/>
      <c r="F207" s="1661"/>
      <c r="G207" s="236">
        <v>100</v>
      </c>
      <c r="H207" s="530" t="s">
        <v>52</v>
      </c>
      <c r="I207" s="861">
        <v>13.78</v>
      </c>
      <c r="J207" s="690">
        <f t="shared" si="14"/>
        <v>1378</v>
      </c>
      <c r="K207" s="1137">
        <f>J207</f>
        <v>1378</v>
      </c>
      <c r="L207" s="1059" t="s">
        <v>613</v>
      </c>
      <c r="M207" s="792"/>
      <c r="N207" s="868"/>
    </row>
    <row r="208" spans="1:14" s="154" customFormat="1" ht="31.9" customHeight="1">
      <c r="A208" s="1067" t="s">
        <v>399</v>
      </c>
      <c r="B208" s="1661" t="s">
        <v>128</v>
      </c>
      <c r="C208" s="1661"/>
      <c r="D208" s="1661"/>
      <c r="E208" s="1661"/>
      <c r="F208" s="1661"/>
      <c r="G208" s="236">
        <v>50</v>
      </c>
      <c r="H208" s="530" t="s">
        <v>52</v>
      </c>
      <c r="I208" s="861">
        <v>16.53</v>
      </c>
      <c r="J208" s="690">
        <f t="shared" si="14"/>
        <v>826.5</v>
      </c>
      <c r="K208" s="1137">
        <f t="shared" ref="K208:K216" si="16">J208</f>
        <v>826.5</v>
      </c>
      <c r="L208" s="1059" t="s">
        <v>614</v>
      </c>
      <c r="M208" s="792"/>
      <c r="N208" s="868"/>
    </row>
    <row r="209" spans="1:14" s="154" customFormat="1" ht="31.9" customHeight="1">
      <c r="A209" s="1067" t="s">
        <v>127</v>
      </c>
      <c r="B209" s="1661" t="s">
        <v>130</v>
      </c>
      <c r="C209" s="1661"/>
      <c r="D209" s="1661"/>
      <c r="E209" s="1661"/>
      <c r="F209" s="1661"/>
      <c r="G209" s="236">
        <v>100</v>
      </c>
      <c r="H209" s="530" t="s">
        <v>52</v>
      </c>
      <c r="I209" s="861">
        <v>3.02</v>
      </c>
      <c r="J209" s="690">
        <f t="shared" si="14"/>
        <v>302</v>
      </c>
      <c r="K209" s="1137">
        <f t="shared" si="16"/>
        <v>302</v>
      </c>
      <c r="L209" s="1059" t="s">
        <v>615</v>
      </c>
      <c r="M209" s="792"/>
      <c r="N209" s="868"/>
    </row>
    <row r="210" spans="1:14" s="154" customFormat="1" ht="31.9" customHeight="1">
      <c r="A210" s="1067" t="s">
        <v>129</v>
      </c>
      <c r="B210" s="1661" t="s">
        <v>132</v>
      </c>
      <c r="C210" s="1661"/>
      <c r="D210" s="1661"/>
      <c r="E210" s="1661"/>
      <c r="F210" s="1661"/>
      <c r="G210" s="236">
        <v>150</v>
      </c>
      <c r="H210" s="530" t="s">
        <v>52</v>
      </c>
      <c r="I210" s="861">
        <v>3.93</v>
      </c>
      <c r="J210" s="690">
        <f t="shared" si="14"/>
        <v>589.5</v>
      </c>
      <c r="K210" s="1137">
        <f t="shared" si="16"/>
        <v>589.5</v>
      </c>
      <c r="L210" s="1059" t="s">
        <v>616</v>
      </c>
      <c r="M210" s="792"/>
      <c r="N210" s="868"/>
    </row>
    <row r="211" spans="1:14" s="154" customFormat="1" ht="31.9" customHeight="1">
      <c r="A211" s="1067" t="s">
        <v>131</v>
      </c>
      <c r="B211" s="1661" t="s">
        <v>134</v>
      </c>
      <c r="C211" s="1661"/>
      <c r="D211" s="1661"/>
      <c r="E211" s="1661"/>
      <c r="F211" s="1661"/>
      <c r="G211" s="236">
        <v>100</v>
      </c>
      <c r="H211" s="530" t="s">
        <v>52</v>
      </c>
      <c r="I211" s="861">
        <v>6.6</v>
      </c>
      <c r="J211" s="690">
        <f t="shared" si="14"/>
        <v>660</v>
      </c>
      <c r="K211" s="1137">
        <f t="shared" si="16"/>
        <v>660</v>
      </c>
      <c r="L211" s="1059" t="s">
        <v>617</v>
      </c>
      <c r="M211" s="792"/>
      <c r="N211" s="868"/>
    </row>
    <row r="212" spans="1:14" s="154" customFormat="1" ht="45" customHeight="1">
      <c r="A212" s="1067" t="s">
        <v>133</v>
      </c>
      <c r="B212" s="1661" t="s">
        <v>136</v>
      </c>
      <c r="C212" s="1661"/>
      <c r="D212" s="1661"/>
      <c r="E212" s="1661"/>
      <c r="F212" s="1661"/>
      <c r="G212" s="236">
        <v>100</v>
      </c>
      <c r="H212" s="530" t="s">
        <v>52</v>
      </c>
      <c r="I212" s="861">
        <f>Plan1!I236*92%</f>
        <v>6.8908000000000005</v>
      </c>
      <c r="J212" s="690">
        <f t="shared" si="14"/>
        <v>689.08</v>
      </c>
      <c r="K212" s="1137">
        <f t="shared" si="16"/>
        <v>689.08</v>
      </c>
      <c r="L212" s="1048" t="s">
        <v>551</v>
      </c>
      <c r="M212" s="792"/>
      <c r="N212" s="868"/>
    </row>
    <row r="213" spans="1:14" s="154" customFormat="1" ht="33.6" customHeight="1">
      <c r="A213" s="1067" t="s">
        <v>400</v>
      </c>
      <c r="B213" s="1660" t="s">
        <v>138</v>
      </c>
      <c r="C213" s="1660"/>
      <c r="D213" s="1660"/>
      <c r="E213" s="1660"/>
      <c r="F213" s="1660"/>
      <c r="G213" s="236">
        <v>6</v>
      </c>
      <c r="H213" s="530" t="s">
        <v>80</v>
      </c>
      <c r="I213" s="861">
        <v>29.32</v>
      </c>
      <c r="J213" s="690">
        <f t="shared" si="14"/>
        <v>175.92</v>
      </c>
      <c r="K213" s="1137">
        <f t="shared" si="16"/>
        <v>175.92</v>
      </c>
      <c r="L213" s="1059" t="s">
        <v>618</v>
      </c>
      <c r="M213" s="792"/>
      <c r="N213" s="868"/>
    </row>
    <row r="214" spans="1:14" s="154" customFormat="1" ht="33.6" customHeight="1">
      <c r="A214" s="1067" t="s">
        <v>135</v>
      </c>
      <c r="B214" s="1660" t="s">
        <v>140</v>
      </c>
      <c r="C214" s="1660"/>
      <c r="D214" s="1660"/>
      <c r="E214" s="1660"/>
      <c r="F214" s="1660"/>
      <c r="G214" s="236">
        <v>2</v>
      </c>
      <c r="H214" s="530" t="s">
        <v>80</v>
      </c>
      <c r="I214" s="861">
        <v>21.88</v>
      </c>
      <c r="J214" s="690">
        <f t="shared" si="14"/>
        <v>43.76</v>
      </c>
      <c r="K214" s="1137">
        <f t="shared" si="16"/>
        <v>43.76</v>
      </c>
      <c r="L214" s="1059" t="s">
        <v>619</v>
      </c>
      <c r="M214" s="792"/>
      <c r="N214" s="868"/>
    </row>
    <row r="215" spans="1:14" s="154" customFormat="1" ht="33.6" customHeight="1">
      <c r="A215" s="1067" t="s">
        <v>137</v>
      </c>
      <c r="B215" s="1660" t="s">
        <v>142</v>
      </c>
      <c r="C215" s="1660"/>
      <c r="D215" s="1660"/>
      <c r="E215" s="1660"/>
      <c r="F215" s="1660"/>
      <c r="G215" s="236">
        <v>4</v>
      </c>
      <c r="H215" s="530" t="s">
        <v>80</v>
      </c>
      <c r="I215" s="861">
        <v>22.46</v>
      </c>
      <c r="J215" s="690">
        <f t="shared" si="14"/>
        <v>89.84</v>
      </c>
      <c r="K215" s="1137">
        <f t="shared" si="16"/>
        <v>89.84</v>
      </c>
      <c r="L215" s="1059" t="s">
        <v>620</v>
      </c>
      <c r="M215" s="792"/>
      <c r="N215" s="868"/>
    </row>
    <row r="216" spans="1:14" s="154" customFormat="1" ht="30" customHeight="1">
      <c r="A216" s="1067" t="s">
        <v>462</v>
      </c>
      <c r="B216" s="1514" t="s">
        <v>622</v>
      </c>
      <c r="C216" s="1515"/>
      <c r="D216" s="1515"/>
      <c r="E216" s="1515"/>
      <c r="F216" s="1516"/>
      <c r="G216" s="236">
        <v>1</v>
      </c>
      <c r="H216" s="237" t="s">
        <v>80</v>
      </c>
      <c r="I216" s="861">
        <v>2374.9499999999998</v>
      </c>
      <c r="J216" s="700">
        <f>SUM(G216*I216)</f>
        <v>2374.9499999999998</v>
      </c>
      <c r="K216" s="1137">
        <f t="shared" si="16"/>
        <v>2374.9499999999998</v>
      </c>
      <c r="L216" s="1060" t="s">
        <v>621</v>
      </c>
      <c r="M216" s="792"/>
      <c r="N216" s="868"/>
    </row>
    <row r="217" spans="1:14" s="154" customFormat="1" ht="30" customHeight="1">
      <c r="A217" s="1067" t="s">
        <v>139</v>
      </c>
      <c r="B217" s="1514" t="s">
        <v>662</v>
      </c>
      <c r="C217" s="1515"/>
      <c r="D217" s="1515"/>
      <c r="E217" s="1515"/>
      <c r="F217" s="1516"/>
      <c r="G217" s="236">
        <v>1</v>
      </c>
      <c r="H217" s="237" t="s">
        <v>80</v>
      </c>
      <c r="I217" s="861">
        <v>842.82</v>
      </c>
      <c r="J217" s="700">
        <v>0</v>
      </c>
      <c r="K217" s="1137">
        <f>G217*I217</f>
        <v>842.82</v>
      </c>
      <c r="L217" s="1060" t="s">
        <v>663</v>
      </c>
      <c r="M217" s="792"/>
      <c r="N217" s="868"/>
    </row>
    <row r="218" spans="1:14" s="172" customFormat="1" ht="12.6" customHeight="1">
      <c r="A218" s="1083"/>
      <c r="B218" s="922"/>
      <c r="C218" s="938"/>
      <c r="D218" s="938"/>
      <c r="E218" s="938"/>
      <c r="F218" s="923"/>
      <c r="G218" s="937"/>
      <c r="H218" s="942"/>
      <c r="I218" s="190"/>
      <c r="J218" s="289"/>
      <c r="K218" s="1151"/>
      <c r="L218" s="1051"/>
      <c r="M218" s="795"/>
      <c r="N218" s="870"/>
    </row>
    <row r="219" spans="1:14" s="16" customFormat="1" ht="13.15" customHeight="1">
      <c r="A219" s="1064">
        <v>9</v>
      </c>
      <c r="B219" s="1301" t="s">
        <v>209</v>
      </c>
      <c r="C219" s="1302"/>
      <c r="D219" s="1302"/>
      <c r="E219" s="1302"/>
      <c r="F219" s="1303"/>
      <c r="G219" s="182"/>
      <c r="H219" s="524"/>
      <c r="I219" s="638"/>
      <c r="J219" s="532">
        <f>SUM(J220:J238)</f>
        <v>13575.289999999999</v>
      </c>
      <c r="K219" s="1131">
        <f>SUM(K220:K239)</f>
        <v>10292.629999999999</v>
      </c>
      <c r="L219" s="1061"/>
      <c r="M219" s="789"/>
      <c r="N219" s="800"/>
    </row>
    <row r="220" spans="1:14" s="154" customFormat="1" ht="15" customHeight="1">
      <c r="A220" s="1067" t="s">
        <v>144</v>
      </c>
      <c r="B220" s="1523" t="s">
        <v>331</v>
      </c>
      <c r="C220" s="1524"/>
      <c r="D220" s="1524"/>
      <c r="E220" s="1524"/>
      <c r="F220" s="1525"/>
      <c r="G220" s="236">
        <v>1</v>
      </c>
      <c r="H220" s="530" t="s">
        <v>80</v>
      </c>
      <c r="I220" s="861">
        <f>Plan1!I242*92%</f>
        <v>333.02160000000003</v>
      </c>
      <c r="J220" s="690">
        <f>ROUND(G220*I220,2)</f>
        <v>333.02</v>
      </c>
      <c r="K220" s="1137">
        <v>0</v>
      </c>
      <c r="L220" s="1732" t="s">
        <v>543</v>
      </c>
      <c r="M220" s="792">
        <f>J220</f>
        <v>333.02</v>
      </c>
      <c r="N220" s="868"/>
    </row>
    <row r="221" spans="1:14" s="154" customFormat="1" ht="26.45" customHeight="1">
      <c r="A221" s="1067" t="s">
        <v>145</v>
      </c>
      <c r="B221" s="1514" t="s">
        <v>330</v>
      </c>
      <c r="C221" s="1515"/>
      <c r="D221" s="1515"/>
      <c r="E221" s="1515"/>
      <c r="F221" s="1516"/>
      <c r="G221" s="236">
        <v>18</v>
      </c>
      <c r="H221" s="530" t="s">
        <v>52</v>
      </c>
      <c r="I221" s="861">
        <f>Plan1!I243*92%</f>
        <v>14.048400000000001</v>
      </c>
      <c r="J221" s="690">
        <f t="shared" ref="J221:J237" si="17">ROUND(G221*I221,2)</f>
        <v>252.87</v>
      </c>
      <c r="K221" s="1137">
        <v>0</v>
      </c>
      <c r="L221" s="1733"/>
      <c r="M221" s="792">
        <f t="shared" ref="M221:M226" si="18">J221</f>
        <v>252.87</v>
      </c>
      <c r="N221" s="868"/>
    </row>
    <row r="222" spans="1:14" s="154" customFormat="1" ht="15" customHeight="1">
      <c r="A222" s="1067" t="s">
        <v>147</v>
      </c>
      <c r="B222" s="1523" t="s">
        <v>148</v>
      </c>
      <c r="C222" s="1524"/>
      <c r="D222" s="1524"/>
      <c r="E222" s="1524"/>
      <c r="F222" s="1525"/>
      <c r="G222" s="236">
        <v>1</v>
      </c>
      <c r="H222" s="530" t="s">
        <v>80</v>
      </c>
      <c r="I222" s="861">
        <f>Plan1!I244*92%</f>
        <v>76.001199999999997</v>
      </c>
      <c r="J222" s="690">
        <f t="shared" si="17"/>
        <v>76</v>
      </c>
      <c r="K222" s="1137">
        <v>0</v>
      </c>
      <c r="L222" s="1733"/>
      <c r="M222" s="792">
        <f t="shared" si="18"/>
        <v>76</v>
      </c>
      <c r="N222" s="868"/>
    </row>
    <row r="223" spans="1:14" s="154" customFormat="1" ht="15" customHeight="1">
      <c r="A223" s="1067" t="s">
        <v>149</v>
      </c>
      <c r="B223" s="1523" t="s">
        <v>150</v>
      </c>
      <c r="C223" s="1524"/>
      <c r="D223" s="1524"/>
      <c r="E223" s="1524"/>
      <c r="F223" s="1525"/>
      <c r="G223" s="236">
        <v>1</v>
      </c>
      <c r="H223" s="530" t="s">
        <v>80</v>
      </c>
      <c r="I223" s="861">
        <f>Plan1!I245*92%</f>
        <v>46.303600000000003</v>
      </c>
      <c r="J223" s="690">
        <f t="shared" si="17"/>
        <v>46.3</v>
      </c>
      <c r="K223" s="1137">
        <v>0</v>
      </c>
      <c r="L223" s="1733"/>
      <c r="M223" s="792">
        <f t="shared" si="18"/>
        <v>46.3</v>
      </c>
      <c r="N223" s="868"/>
    </row>
    <row r="224" spans="1:14" s="154" customFormat="1" ht="27.6" customHeight="1">
      <c r="A224" s="1067" t="s">
        <v>151</v>
      </c>
      <c r="B224" s="1514" t="s">
        <v>329</v>
      </c>
      <c r="C224" s="1515"/>
      <c r="D224" s="1515"/>
      <c r="E224" s="1515"/>
      <c r="F224" s="1516"/>
      <c r="G224" s="236">
        <v>48</v>
      </c>
      <c r="H224" s="530" t="s">
        <v>52</v>
      </c>
      <c r="I224" s="861">
        <f>Plan1!I246*92%</f>
        <v>14.959200000000003</v>
      </c>
      <c r="J224" s="690">
        <f t="shared" si="17"/>
        <v>718.04</v>
      </c>
      <c r="K224" s="1137">
        <v>0</v>
      </c>
      <c r="L224" s="1733"/>
      <c r="M224" s="792">
        <f t="shared" si="18"/>
        <v>718.04</v>
      </c>
      <c r="N224" s="868"/>
    </row>
    <row r="225" spans="1:14" s="154" customFormat="1" ht="30" customHeight="1">
      <c r="A225" s="1067" t="s">
        <v>153</v>
      </c>
      <c r="B225" s="1514" t="s">
        <v>154</v>
      </c>
      <c r="C225" s="1515"/>
      <c r="D225" s="1515"/>
      <c r="E225" s="1515"/>
      <c r="F225" s="1516"/>
      <c r="G225" s="236">
        <v>2</v>
      </c>
      <c r="H225" s="530" t="s">
        <v>80</v>
      </c>
      <c r="I225" s="861">
        <f>Plan1!I247*92%</f>
        <v>101.15400000000001</v>
      </c>
      <c r="J225" s="690">
        <f t="shared" si="17"/>
        <v>202.31</v>
      </c>
      <c r="K225" s="1137">
        <v>0</v>
      </c>
      <c r="L225" s="1733"/>
      <c r="M225" s="792">
        <f t="shared" si="18"/>
        <v>202.31</v>
      </c>
      <c r="N225" s="868"/>
    </row>
    <row r="226" spans="1:14" s="154" customFormat="1" ht="26.25" customHeight="1">
      <c r="A226" s="1065" t="s">
        <v>155</v>
      </c>
      <c r="B226" s="1735" t="s">
        <v>156</v>
      </c>
      <c r="C226" s="1736"/>
      <c r="D226" s="1736"/>
      <c r="E226" s="1736"/>
      <c r="F226" s="1737"/>
      <c r="G226" s="1034">
        <v>3</v>
      </c>
      <c r="H226" s="1035" t="s">
        <v>80</v>
      </c>
      <c r="I226" s="1036">
        <f>Plan1!I248*92%</f>
        <v>63.71</v>
      </c>
      <c r="J226" s="1037">
        <f t="shared" si="17"/>
        <v>191.13</v>
      </c>
      <c r="K226" s="1140">
        <v>0</v>
      </c>
      <c r="L226" s="1733"/>
      <c r="M226" s="792">
        <f t="shared" si="18"/>
        <v>191.13</v>
      </c>
      <c r="N226" s="868"/>
    </row>
    <row r="227" spans="1:14" s="154" customFormat="1" ht="34.9" customHeight="1">
      <c r="A227" s="1067" t="s">
        <v>184</v>
      </c>
      <c r="B227" s="1660" t="s">
        <v>517</v>
      </c>
      <c r="C227" s="1661"/>
      <c r="D227" s="1661"/>
      <c r="E227" s="1661"/>
      <c r="F227" s="1661"/>
      <c r="G227" s="554">
        <v>4</v>
      </c>
      <c r="H227" s="237" t="s">
        <v>80</v>
      </c>
      <c r="I227" s="861">
        <v>204.1</v>
      </c>
      <c r="J227" s="690">
        <f t="shared" si="17"/>
        <v>816.4</v>
      </c>
      <c r="K227" s="1137">
        <f>J227</f>
        <v>816.4</v>
      </c>
      <c r="L227" s="1048" t="s">
        <v>623</v>
      </c>
      <c r="M227" s="792"/>
      <c r="N227" s="868"/>
    </row>
    <row r="228" spans="1:14" s="154" customFormat="1" ht="18" customHeight="1">
      <c r="A228" s="1067" t="s">
        <v>185</v>
      </c>
      <c r="B228" s="1523" t="s">
        <v>160</v>
      </c>
      <c r="C228" s="1524"/>
      <c r="D228" s="1524"/>
      <c r="E228" s="1524"/>
      <c r="F228" s="1525"/>
      <c r="G228" s="236">
        <v>3</v>
      </c>
      <c r="H228" s="530" t="s">
        <v>80</v>
      </c>
      <c r="I228" s="861">
        <f>Plan1!I250*92%</f>
        <v>46.211599999999997</v>
      </c>
      <c r="J228" s="727">
        <f t="shared" si="17"/>
        <v>138.63</v>
      </c>
      <c r="K228" s="1137">
        <v>0</v>
      </c>
      <c r="L228" s="1732" t="s">
        <v>543</v>
      </c>
      <c r="M228" s="792">
        <f>J228</f>
        <v>138.63</v>
      </c>
      <c r="N228" s="868"/>
    </row>
    <row r="229" spans="1:14" s="154" customFormat="1" ht="28.15" customHeight="1">
      <c r="A229" s="1067" t="s">
        <v>157</v>
      </c>
      <c r="B229" s="1514" t="s">
        <v>328</v>
      </c>
      <c r="C229" s="1515"/>
      <c r="D229" s="1515"/>
      <c r="E229" s="1515"/>
      <c r="F229" s="1516"/>
      <c r="G229" s="236">
        <v>48</v>
      </c>
      <c r="H229" s="530" t="s">
        <v>52</v>
      </c>
      <c r="I229" s="861">
        <f>Plan1!I251*92%</f>
        <v>37.894799999999996</v>
      </c>
      <c r="J229" s="727">
        <f t="shared" si="17"/>
        <v>1818.95</v>
      </c>
      <c r="K229" s="1137">
        <v>0</v>
      </c>
      <c r="L229" s="1733"/>
      <c r="M229" s="792">
        <f>J229-0.1</f>
        <v>1818.8500000000001</v>
      </c>
      <c r="N229" s="868"/>
    </row>
    <row r="230" spans="1:14" s="154" customFormat="1" ht="30.6" customHeight="1">
      <c r="A230" s="1067" t="s">
        <v>159</v>
      </c>
      <c r="B230" s="1514" t="s">
        <v>327</v>
      </c>
      <c r="C230" s="1515"/>
      <c r="D230" s="1515"/>
      <c r="E230" s="1515"/>
      <c r="F230" s="1516"/>
      <c r="G230" s="236">
        <v>12</v>
      </c>
      <c r="H230" s="530" t="s">
        <v>52</v>
      </c>
      <c r="I230" s="861">
        <f>Plan1!I252*92%</f>
        <v>22.033999999999999</v>
      </c>
      <c r="J230" s="727">
        <f t="shared" si="17"/>
        <v>264.41000000000003</v>
      </c>
      <c r="K230" s="1137">
        <v>0</v>
      </c>
      <c r="L230" s="1734"/>
      <c r="M230" s="792">
        <f t="shared" ref="M230" si="19">J230</f>
        <v>264.41000000000003</v>
      </c>
      <c r="N230" s="868"/>
    </row>
    <row r="231" spans="1:14" s="154" customFormat="1" ht="34.9" customHeight="1">
      <c r="A231" s="1082" t="s">
        <v>186</v>
      </c>
      <c r="B231" s="1642" t="s">
        <v>167</v>
      </c>
      <c r="C231" s="1643"/>
      <c r="D231" s="1643"/>
      <c r="E231" s="1643"/>
      <c r="F231" s="1644"/>
      <c r="G231" s="236">
        <v>3</v>
      </c>
      <c r="H231" s="729" t="s">
        <v>326</v>
      </c>
      <c r="I231" s="861">
        <v>632.15</v>
      </c>
      <c r="J231" s="680">
        <f t="shared" si="17"/>
        <v>1896.45</v>
      </c>
      <c r="K231" s="1137">
        <f>J231</f>
        <v>1896.45</v>
      </c>
      <c r="L231" s="1048" t="s">
        <v>624</v>
      </c>
      <c r="M231" s="792"/>
      <c r="N231" s="868"/>
    </row>
    <row r="232" spans="1:14" s="154" customFormat="1" ht="34.9" customHeight="1">
      <c r="A232" s="1082" t="s">
        <v>161</v>
      </c>
      <c r="B232" s="1642" t="s">
        <v>169</v>
      </c>
      <c r="C232" s="1643"/>
      <c r="D232" s="1643"/>
      <c r="E232" s="1643"/>
      <c r="F232" s="1644"/>
      <c r="G232" s="236">
        <v>2</v>
      </c>
      <c r="H232" s="729" t="s">
        <v>80</v>
      </c>
      <c r="I232" s="861">
        <v>250.53</v>
      </c>
      <c r="J232" s="680">
        <f t="shared" si="17"/>
        <v>501.06</v>
      </c>
      <c r="K232" s="1137">
        <f t="shared" ref="K232:K238" si="20">J232</f>
        <v>501.06</v>
      </c>
      <c r="L232" s="1048" t="s">
        <v>625</v>
      </c>
      <c r="M232" s="792"/>
      <c r="N232" s="868"/>
    </row>
    <row r="233" spans="1:14" s="154" customFormat="1" ht="34.9" customHeight="1">
      <c r="A233" s="1082" t="s">
        <v>163</v>
      </c>
      <c r="B233" s="1642" t="s">
        <v>171</v>
      </c>
      <c r="C233" s="1643"/>
      <c r="D233" s="1643"/>
      <c r="E233" s="1643"/>
      <c r="F233" s="1644"/>
      <c r="G233" s="236">
        <v>2</v>
      </c>
      <c r="H233" s="729" t="s">
        <v>80</v>
      </c>
      <c r="I233" s="861">
        <v>420.6</v>
      </c>
      <c r="J233" s="680">
        <f t="shared" si="17"/>
        <v>841.2</v>
      </c>
      <c r="K233" s="1137">
        <f t="shared" si="20"/>
        <v>841.2</v>
      </c>
      <c r="L233" s="1048" t="s">
        <v>626</v>
      </c>
      <c r="M233" s="792"/>
      <c r="N233" s="868"/>
    </row>
    <row r="234" spans="1:14" s="154" customFormat="1" ht="34.9" customHeight="1">
      <c r="A234" s="1082" t="s">
        <v>187</v>
      </c>
      <c r="B234" s="1642" t="s">
        <v>518</v>
      </c>
      <c r="C234" s="1643"/>
      <c r="D234" s="1643"/>
      <c r="E234" s="1643"/>
      <c r="F234" s="1644"/>
      <c r="G234" s="236">
        <v>2</v>
      </c>
      <c r="H234" s="729" t="s">
        <v>80</v>
      </c>
      <c r="I234" s="861">
        <v>900.31</v>
      </c>
      <c r="J234" s="680">
        <f t="shared" si="17"/>
        <v>1800.62</v>
      </c>
      <c r="K234" s="1137">
        <f t="shared" si="20"/>
        <v>1800.62</v>
      </c>
      <c r="L234" s="1048" t="s">
        <v>627</v>
      </c>
      <c r="M234" s="792"/>
      <c r="N234" s="868"/>
    </row>
    <row r="235" spans="1:14" s="154" customFormat="1" ht="34.9" customHeight="1">
      <c r="A235" s="1082" t="s">
        <v>166</v>
      </c>
      <c r="B235" s="1642" t="s">
        <v>175</v>
      </c>
      <c r="C235" s="1643"/>
      <c r="D235" s="1643"/>
      <c r="E235" s="1643"/>
      <c r="F235" s="1644"/>
      <c r="G235" s="236">
        <v>2</v>
      </c>
      <c r="H235" s="729" t="s">
        <v>80</v>
      </c>
      <c r="I235" s="861">
        <v>1346.45</v>
      </c>
      <c r="J235" s="680">
        <f t="shared" si="17"/>
        <v>2692.9</v>
      </c>
      <c r="K235" s="1137">
        <f t="shared" si="20"/>
        <v>2692.9</v>
      </c>
      <c r="L235" s="1048" t="s">
        <v>628</v>
      </c>
      <c r="M235" s="792"/>
      <c r="N235" s="868"/>
    </row>
    <row r="236" spans="1:14" s="154" customFormat="1" ht="34.9" customHeight="1">
      <c r="A236" s="1082" t="s">
        <v>168</v>
      </c>
      <c r="B236" s="1642" t="s">
        <v>177</v>
      </c>
      <c r="C236" s="1643"/>
      <c r="D236" s="1643"/>
      <c r="E236" s="1643"/>
      <c r="F236" s="1644"/>
      <c r="G236" s="236">
        <v>4</v>
      </c>
      <c r="H236" s="729" t="s">
        <v>80</v>
      </c>
      <c r="I236" s="861">
        <v>175.04</v>
      </c>
      <c r="J236" s="680">
        <f>ROUND(G236*I236,2)</f>
        <v>700.16</v>
      </c>
      <c r="K236" s="1137">
        <f t="shared" si="20"/>
        <v>700.16</v>
      </c>
      <c r="L236" s="1048" t="s">
        <v>629</v>
      </c>
      <c r="M236" s="792"/>
      <c r="N236" s="868"/>
    </row>
    <row r="237" spans="1:14" s="154" customFormat="1" ht="34.9" customHeight="1">
      <c r="A237" s="1082" t="s">
        <v>170</v>
      </c>
      <c r="B237" s="1642" t="s">
        <v>179</v>
      </c>
      <c r="C237" s="1643"/>
      <c r="D237" s="1643"/>
      <c r="E237" s="1643"/>
      <c r="F237" s="1644"/>
      <c r="G237" s="236">
        <v>2</v>
      </c>
      <c r="H237" s="729" t="s">
        <v>80</v>
      </c>
      <c r="I237" s="861">
        <v>103.52</v>
      </c>
      <c r="J237" s="680">
        <f t="shared" si="17"/>
        <v>207.04</v>
      </c>
      <c r="K237" s="1137">
        <f t="shared" si="20"/>
        <v>207.04</v>
      </c>
      <c r="L237" s="1048" t="s">
        <v>630</v>
      </c>
      <c r="M237" s="792"/>
      <c r="N237" s="868"/>
    </row>
    <row r="238" spans="1:14" s="154" customFormat="1" ht="34.9" customHeight="1">
      <c r="A238" s="1082" t="s">
        <v>172</v>
      </c>
      <c r="B238" s="1642" t="s">
        <v>317</v>
      </c>
      <c r="C238" s="1643"/>
      <c r="D238" s="1643"/>
      <c r="E238" s="1643"/>
      <c r="F238" s="1644"/>
      <c r="G238" s="236">
        <v>1</v>
      </c>
      <c r="H238" s="729" t="s">
        <v>80</v>
      </c>
      <c r="I238" s="861">
        <v>77.8</v>
      </c>
      <c r="J238" s="680">
        <f>ROUND(G238*I238,2)</f>
        <v>77.8</v>
      </c>
      <c r="K238" s="1137">
        <f t="shared" si="20"/>
        <v>77.8</v>
      </c>
      <c r="L238" s="1048" t="s">
        <v>631</v>
      </c>
      <c r="M238" s="792"/>
      <c r="N238" s="868"/>
    </row>
    <row r="239" spans="1:14" s="154" customFormat="1" ht="34.9" customHeight="1">
      <c r="A239" s="1082" t="s">
        <v>174</v>
      </c>
      <c r="B239" s="1642" t="s">
        <v>660</v>
      </c>
      <c r="C239" s="1643"/>
      <c r="D239" s="1643"/>
      <c r="E239" s="1643"/>
      <c r="F239" s="1644"/>
      <c r="G239" s="236">
        <v>1</v>
      </c>
      <c r="H239" s="729" t="s">
        <v>80</v>
      </c>
      <c r="I239" s="861">
        <v>759</v>
      </c>
      <c r="J239" s="680">
        <v>0</v>
      </c>
      <c r="K239" s="1137">
        <f>G239*I239</f>
        <v>759</v>
      </c>
      <c r="L239" s="1048" t="s">
        <v>661</v>
      </c>
      <c r="M239" s="792"/>
      <c r="N239" s="868"/>
    </row>
    <row r="240" spans="1:14" s="16" customFormat="1" ht="16.899999999999999" customHeight="1">
      <c r="A240" s="1077"/>
      <c r="B240" s="950"/>
      <c r="C240" s="951"/>
      <c r="D240" s="951"/>
      <c r="E240" s="951"/>
      <c r="F240" s="952"/>
      <c r="G240" s="231"/>
      <c r="H240" s="527"/>
      <c r="I240" s="529"/>
      <c r="J240" s="698"/>
      <c r="K240" s="1154"/>
      <c r="L240" s="1052"/>
      <c r="M240" s="789"/>
      <c r="N240" s="800"/>
    </row>
    <row r="241" spans="1:14" s="16" customFormat="1" ht="16.5" customHeight="1">
      <c r="A241" s="1064">
        <v>10</v>
      </c>
      <c r="B241" s="1310" t="s">
        <v>190</v>
      </c>
      <c r="C241" s="1311"/>
      <c r="D241" s="1311"/>
      <c r="E241" s="1311"/>
      <c r="F241" s="1312"/>
      <c r="G241" s="182"/>
      <c r="H241" s="524"/>
      <c r="I241" s="638"/>
      <c r="J241" s="532">
        <f>ROUND(SUM(J242:J243),2)</f>
        <v>2873.53</v>
      </c>
      <c r="K241" s="1131">
        <f>ROUND(SUM(K242:K243),2)</f>
        <v>2873.53</v>
      </c>
      <c r="L241" s="1061"/>
      <c r="M241" s="789"/>
      <c r="N241" s="800"/>
    </row>
    <row r="242" spans="1:14" s="154" customFormat="1" ht="34.9" customHeight="1">
      <c r="A242" s="1082" t="s">
        <v>194</v>
      </c>
      <c r="B242" s="1642" t="s">
        <v>632</v>
      </c>
      <c r="C242" s="1643"/>
      <c r="D242" s="1643"/>
      <c r="E242" s="1643"/>
      <c r="F242" s="1644"/>
      <c r="G242" s="236">
        <v>9</v>
      </c>
      <c r="H242" s="729" t="s">
        <v>96</v>
      </c>
      <c r="I242" s="861">
        <v>35.94</v>
      </c>
      <c r="J242" s="690">
        <f>ROUND(G242*I242,2)</f>
        <v>323.45999999999998</v>
      </c>
      <c r="K242" s="1137">
        <f>J242</f>
        <v>323.45999999999998</v>
      </c>
      <c r="L242" s="1048" t="s">
        <v>633</v>
      </c>
      <c r="M242" s="792"/>
      <c r="N242" s="868"/>
    </row>
    <row r="243" spans="1:14" s="154" customFormat="1" ht="34.9" customHeight="1">
      <c r="A243" s="1082" t="s">
        <v>596</v>
      </c>
      <c r="B243" s="1642" t="s">
        <v>193</v>
      </c>
      <c r="C243" s="1643"/>
      <c r="D243" s="1643"/>
      <c r="E243" s="1643"/>
      <c r="F243" s="1644"/>
      <c r="G243" s="236">
        <v>105.9</v>
      </c>
      <c r="H243" s="729" t="s">
        <v>96</v>
      </c>
      <c r="I243" s="861">
        <v>24.08</v>
      </c>
      <c r="J243" s="690">
        <f>ROUND(G243*I243,2)</f>
        <v>2550.0700000000002</v>
      </c>
      <c r="K243" s="1137">
        <f>J243</f>
        <v>2550.0700000000002</v>
      </c>
      <c r="L243" s="1048" t="s">
        <v>634</v>
      </c>
      <c r="M243" s="792"/>
      <c r="N243" s="868"/>
    </row>
    <row r="244" spans="1:14" s="16" customFormat="1" ht="13.9" customHeight="1">
      <c r="A244" s="1083"/>
      <c r="B244" s="922"/>
      <c r="C244" s="938"/>
      <c r="D244" s="938"/>
      <c r="E244" s="938"/>
      <c r="F244" s="923"/>
      <c r="G244" s="937"/>
      <c r="H244" s="942"/>
      <c r="I244" s="190"/>
      <c r="J244" s="289"/>
      <c r="K244" s="1151"/>
      <c r="L244" s="1051"/>
      <c r="M244" s="789"/>
      <c r="N244" s="800"/>
    </row>
    <row r="245" spans="1:14" s="16" customFormat="1" ht="15.6" customHeight="1">
      <c r="A245" s="1069">
        <v>11</v>
      </c>
      <c r="B245" s="1310" t="s">
        <v>195</v>
      </c>
      <c r="C245" s="1311"/>
      <c r="D245" s="1311"/>
      <c r="E245" s="1311"/>
      <c r="F245" s="1312"/>
      <c r="G245" s="182"/>
      <c r="H245" s="524"/>
      <c r="I245" s="638"/>
      <c r="J245" s="532">
        <f>ROUND(SUM(J246:J254),2)</f>
        <v>23488.33</v>
      </c>
      <c r="K245" s="1131">
        <f>ROUND(SUM(K246:K254),2)</f>
        <v>20364.93</v>
      </c>
      <c r="L245" s="1061"/>
      <c r="M245" s="789"/>
      <c r="N245" s="800"/>
    </row>
    <row r="246" spans="1:14" s="154" customFormat="1" ht="34.9" customHeight="1">
      <c r="A246" s="1082" t="s">
        <v>197</v>
      </c>
      <c r="B246" s="1642" t="s">
        <v>196</v>
      </c>
      <c r="C246" s="1643"/>
      <c r="D246" s="1643"/>
      <c r="E246" s="1643"/>
      <c r="F246" s="1644"/>
      <c r="G246" s="236">
        <v>4.8</v>
      </c>
      <c r="H246" s="729" t="s">
        <v>96</v>
      </c>
      <c r="I246" s="861">
        <v>243.32</v>
      </c>
      <c r="J246" s="690">
        <f>ROUND(G246*I246,2)</f>
        <v>1167.94</v>
      </c>
      <c r="K246" s="1137">
        <f>J246</f>
        <v>1167.94</v>
      </c>
      <c r="L246" s="1048" t="s">
        <v>635</v>
      </c>
      <c r="M246" s="792"/>
      <c r="N246" s="868"/>
    </row>
    <row r="247" spans="1:14" s="154" customFormat="1" ht="34.9" customHeight="1">
      <c r="A247" s="1082" t="s">
        <v>338</v>
      </c>
      <c r="B247" s="1642" t="s">
        <v>519</v>
      </c>
      <c r="C247" s="1643"/>
      <c r="D247" s="1643"/>
      <c r="E247" s="1643"/>
      <c r="F247" s="1644"/>
      <c r="G247" s="236">
        <v>2</v>
      </c>
      <c r="H247" s="729" t="s">
        <v>189</v>
      </c>
      <c r="I247" s="861">
        <v>388.42</v>
      </c>
      <c r="J247" s="690">
        <f t="shared" ref="J247:J254" si="21">ROUND(G247*I247,2)</f>
        <v>776.84</v>
      </c>
      <c r="K247" s="1137">
        <f t="shared" ref="K247:K254" si="22">J247</f>
        <v>776.84</v>
      </c>
      <c r="L247" s="1048" t="s">
        <v>636</v>
      </c>
      <c r="M247" s="792"/>
      <c r="N247" s="868"/>
    </row>
    <row r="248" spans="1:14" s="154" customFormat="1" ht="34.9" customHeight="1">
      <c r="A248" s="1082" t="s">
        <v>339</v>
      </c>
      <c r="B248" s="1642" t="s">
        <v>180</v>
      </c>
      <c r="C248" s="1643"/>
      <c r="D248" s="1643"/>
      <c r="E248" s="1643"/>
      <c r="F248" s="1644"/>
      <c r="G248" s="236">
        <v>2</v>
      </c>
      <c r="H248" s="729" t="s">
        <v>80</v>
      </c>
      <c r="I248" s="861">
        <v>319.54000000000002</v>
      </c>
      <c r="J248" s="690">
        <f t="shared" si="21"/>
        <v>639.08000000000004</v>
      </c>
      <c r="K248" s="1137">
        <f t="shared" si="22"/>
        <v>639.08000000000004</v>
      </c>
      <c r="L248" s="1048" t="s">
        <v>637</v>
      </c>
      <c r="M248" s="792"/>
      <c r="N248" s="868"/>
    </row>
    <row r="249" spans="1:14" s="154" customFormat="1" ht="34.9" customHeight="1">
      <c r="A249" s="1082" t="s">
        <v>340</v>
      </c>
      <c r="B249" s="1642" t="s">
        <v>181</v>
      </c>
      <c r="C249" s="1643"/>
      <c r="D249" s="1643"/>
      <c r="E249" s="1643"/>
      <c r="F249" s="1644"/>
      <c r="G249" s="236">
        <v>2</v>
      </c>
      <c r="H249" s="729" t="s">
        <v>80</v>
      </c>
      <c r="I249" s="861">
        <v>939.53</v>
      </c>
      <c r="J249" s="690">
        <f t="shared" si="21"/>
        <v>1879.06</v>
      </c>
      <c r="K249" s="1137">
        <f t="shared" si="22"/>
        <v>1879.06</v>
      </c>
      <c r="L249" s="1048" t="s">
        <v>638</v>
      </c>
      <c r="M249" s="792"/>
      <c r="N249" s="868"/>
    </row>
    <row r="250" spans="1:14" s="154" customFormat="1" ht="34.9" customHeight="1">
      <c r="A250" s="1082" t="s">
        <v>341</v>
      </c>
      <c r="B250" s="1642" t="s">
        <v>182</v>
      </c>
      <c r="C250" s="1643"/>
      <c r="D250" s="1643"/>
      <c r="E250" s="1643"/>
      <c r="F250" s="1644"/>
      <c r="G250" s="236">
        <v>20</v>
      </c>
      <c r="H250" s="729" t="s">
        <v>96</v>
      </c>
      <c r="I250" s="861">
        <v>156.16999999999999</v>
      </c>
      <c r="J250" s="690">
        <f t="shared" si="21"/>
        <v>3123.4</v>
      </c>
      <c r="K250" s="1137">
        <v>0</v>
      </c>
      <c r="L250" s="1048" t="s">
        <v>543</v>
      </c>
      <c r="M250" s="792">
        <f>J250</f>
        <v>3123.4</v>
      </c>
      <c r="N250" s="868"/>
    </row>
    <row r="251" spans="1:14" s="154" customFormat="1" ht="34.9" customHeight="1">
      <c r="A251" s="1082" t="s">
        <v>341</v>
      </c>
      <c r="B251" s="1642" t="s">
        <v>182</v>
      </c>
      <c r="C251" s="1643"/>
      <c r="D251" s="1643"/>
      <c r="E251" s="1643"/>
      <c r="F251" s="1644"/>
      <c r="G251" s="236">
        <v>20</v>
      </c>
      <c r="H251" s="729" t="s">
        <v>96</v>
      </c>
      <c r="I251" s="861">
        <v>210.27</v>
      </c>
      <c r="J251" s="690">
        <f t="shared" si="21"/>
        <v>4205.3999999999996</v>
      </c>
      <c r="K251" s="1137">
        <f t="shared" si="22"/>
        <v>4205.3999999999996</v>
      </c>
      <c r="L251" s="1048" t="s">
        <v>639</v>
      </c>
      <c r="M251" s="792"/>
      <c r="N251" s="868"/>
    </row>
    <row r="252" spans="1:14" s="154" customFormat="1" ht="34.9" customHeight="1">
      <c r="A252" s="1082" t="s">
        <v>342</v>
      </c>
      <c r="B252" s="1642" t="s">
        <v>640</v>
      </c>
      <c r="C252" s="1643"/>
      <c r="D252" s="1643"/>
      <c r="E252" s="1643"/>
      <c r="F252" s="1644"/>
      <c r="G252" s="236">
        <v>3</v>
      </c>
      <c r="H252" s="729" t="s">
        <v>80</v>
      </c>
      <c r="I252" s="861">
        <v>358.54</v>
      </c>
      <c r="J252" s="690">
        <f t="shared" si="21"/>
        <v>1075.6199999999999</v>
      </c>
      <c r="K252" s="1137">
        <f t="shared" si="22"/>
        <v>1075.6199999999999</v>
      </c>
      <c r="L252" s="1048" t="s">
        <v>641</v>
      </c>
      <c r="M252" s="792"/>
      <c r="N252" s="868"/>
    </row>
    <row r="253" spans="1:14" s="154" customFormat="1" ht="34.9" customHeight="1">
      <c r="A253" s="1067" t="s">
        <v>343</v>
      </c>
      <c r="B253" s="1514" t="s">
        <v>344</v>
      </c>
      <c r="C253" s="1515"/>
      <c r="D253" s="1515"/>
      <c r="E253" s="1515"/>
      <c r="F253" s="1516"/>
      <c r="G253" s="236">
        <f>6+3</f>
        <v>9</v>
      </c>
      <c r="H253" s="237" t="s">
        <v>96</v>
      </c>
      <c r="I253" s="861">
        <v>1104.3900000000001</v>
      </c>
      <c r="J253" s="690">
        <f t="shared" si="21"/>
        <v>9939.51</v>
      </c>
      <c r="K253" s="1137">
        <f t="shared" si="22"/>
        <v>9939.51</v>
      </c>
      <c r="L253" s="1048" t="s">
        <v>642</v>
      </c>
      <c r="M253" s="792"/>
      <c r="N253" s="868"/>
    </row>
    <row r="254" spans="1:14" s="154" customFormat="1" ht="34.9" customHeight="1">
      <c r="A254" s="1065" t="s">
        <v>368</v>
      </c>
      <c r="B254" s="1514" t="s">
        <v>544</v>
      </c>
      <c r="C254" s="1515"/>
      <c r="D254" s="1515"/>
      <c r="E254" s="1515"/>
      <c r="F254" s="1516"/>
      <c r="G254" s="236">
        <v>18</v>
      </c>
      <c r="H254" s="237" t="s">
        <v>96</v>
      </c>
      <c r="I254" s="861">
        <v>37.86</v>
      </c>
      <c r="J254" s="690">
        <f t="shared" si="21"/>
        <v>681.48</v>
      </c>
      <c r="K254" s="1137">
        <f t="shared" si="22"/>
        <v>681.48</v>
      </c>
      <c r="L254" s="1048" t="s">
        <v>643</v>
      </c>
      <c r="M254" s="792"/>
      <c r="N254" s="792">
        <f>SUM(M164:M251)+0.1</f>
        <v>29767.950000000004</v>
      </c>
    </row>
    <row r="255" spans="1:14" s="16" customFormat="1" ht="16.899999999999999" customHeight="1">
      <c r="A255" s="1085"/>
      <c r="B255" s="1514"/>
      <c r="C255" s="1515"/>
      <c r="D255" s="1515"/>
      <c r="E255" s="1515"/>
      <c r="F255" s="1516"/>
      <c r="G255" s="236"/>
      <c r="H255" s="237"/>
      <c r="I255" s="645"/>
      <c r="J255" s="672"/>
      <c r="K255" s="1142"/>
      <c r="L255" s="1052"/>
      <c r="M255" s="789"/>
      <c r="N255" s="800"/>
    </row>
    <row r="256" spans="1:14" s="16" customFormat="1" ht="15.6" customHeight="1" thickBot="1">
      <c r="A256" s="1095"/>
      <c r="B256" s="1096"/>
      <c r="C256" s="1096"/>
      <c r="D256" s="1096"/>
      <c r="E256" s="1096"/>
      <c r="F256" s="1096"/>
      <c r="G256" s="1097"/>
      <c r="H256" s="1098" t="s">
        <v>286</v>
      </c>
      <c r="I256" s="1099"/>
      <c r="J256" s="1100">
        <f>ROUND(J245+J241+J219+J201+J194+J189+J186+J181+J174+J167+J164,2)</f>
        <v>77305.38</v>
      </c>
      <c r="K256" s="1155">
        <f>ROUND(K245+K241+K219+K201+K194+K189+K186+K181+K174+K167+K164,2)</f>
        <v>49139.25</v>
      </c>
      <c r="L256" s="1061"/>
      <c r="M256" s="791">
        <f>SUM(M117:M255)-1.26</f>
        <v>181534.41999999998</v>
      </c>
      <c r="N256" s="800"/>
    </row>
    <row r="257" spans="1:14" s="16" customFormat="1" ht="15.6" customHeight="1">
      <c r="A257" s="1090"/>
      <c r="B257" s="1032"/>
      <c r="C257" s="1032"/>
      <c r="D257" s="1032"/>
      <c r="E257" s="1032"/>
      <c r="F257" s="1032"/>
      <c r="G257" s="1091"/>
      <c r="H257" s="1092"/>
      <c r="I257" s="1093"/>
      <c r="J257" s="1094"/>
      <c r="K257" s="1156"/>
      <c r="L257" s="1061"/>
      <c r="M257" s="789"/>
      <c r="N257" s="800"/>
    </row>
    <row r="258" spans="1:14" s="16" customFormat="1" ht="12.6" customHeight="1">
      <c r="A258" s="1086"/>
      <c r="B258" s="946"/>
      <c r="C258" s="946"/>
      <c r="D258" s="946"/>
      <c r="E258" s="946"/>
      <c r="F258" s="946"/>
      <c r="G258" s="294"/>
      <c r="H258" s="254"/>
      <c r="I258" s="647"/>
      <c r="J258" s="701"/>
      <c r="K258" s="1157"/>
      <c r="L258" s="1061"/>
      <c r="M258" s="789"/>
      <c r="N258" s="800"/>
    </row>
    <row r="259" spans="1:14" s="16" customFormat="1" ht="14.45" customHeight="1">
      <c r="A259" s="1726" t="s">
        <v>463</v>
      </c>
      <c r="B259" s="1317"/>
      <c r="C259" s="1317"/>
      <c r="D259" s="1317"/>
      <c r="E259" s="1317"/>
      <c r="F259" s="1317"/>
      <c r="G259" s="1317"/>
      <c r="H259" s="1317"/>
      <c r="I259" s="1317"/>
      <c r="J259" s="1317"/>
      <c r="K259" s="1158"/>
      <c r="L259" s="1044"/>
      <c r="M259" s="789"/>
      <c r="N259" s="800"/>
    </row>
    <row r="260" spans="1:14" s="16" customFormat="1" ht="16.899999999999999" customHeight="1">
      <c r="A260" s="1064">
        <v>1</v>
      </c>
      <c r="B260" s="1301" t="s">
        <v>91</v>
      </c>
      <c r="C260" s="1302"/>
      <c r="D260" s="1302"/>
      <c r="E260" s="1302"/>
      <c r="F260" s="1303"/>
      <c r="G260" s="221"/>
      <c r="H260" s="222"/>
      <c r="I260" s="648"/>
      <c r="J260" s="533">
        <f>ROUND(SUM(J261:J265),2)</f>
        <v>10321.290000000001</v>
      </c>
      <c r="K260" s="1146">
        <f>ROUND(SUM(K261:K265),2)</f>
        <v>0</v>
      </c>
      <c r="L260" s="1062"/>
      <c r="M260" s="789"/>
      <c r="N260" s="800"/>
    </row>
    <row r="261" spans="1:14" s="154" customFormat="1" ht="23.25" customHeight="1">
      <c r="A261" s="1065" t="s">
        <v>37</v>
      </c>
      <c r="B261" s="1514" t="s">
        <v>85</v>
      </c>
      <c r="C261" s="1515"/>
      <c r="D261" s="1515"/>
      <c r="E261" s="1515"/>
      <c r="F261" s="1516"/>
      <c r="G261" s="236">
        <v>4.4400000000000004</v>
      </c>
      <c r="H261" s="237" t="s">
        <v>92</v>
      </c>
      <c r="I261" s="861">
        <v>43.56</v>
      </c>
      <c r="J261" s="690">
        <f>ROUND(G261*I261,2)</f>
        <v>193.41</v>
      </c>
      <c r="K261" s="1137">
        <v>0</v>
      </c>
      <c r="L261" s="1048" t="s">
        <v>664</v>
      </c>
      <c r="M261" s="792"/>
      <c r="N261" s="868"/>
    </row>
    <row r="262" spans="1:14" s="154" customFormat="1" ht="23.25" customHeight="1">
      <c r="A262" s="1065" t="s">
        <v>39</v>
      </c>
      <c r="B262" s="1514" t="s">
        <v>49</v>
      </c>
      <c r="C262" s="1515"/>
      <c r="D262" s="1515"/>
      <c r="E262" s="1515"/>
      <c r="F262" s="1516"/>
      <c r="G262" s="236">
        <v>68</v>
      </c>
      <c r="H262" s="237" t="s">
        <v>52</v>
      </c>
      <c r="I262" s="861">
        <v>49.39</v>
      </c>
      <c r="J262" s="690">
        <f t="shared" ref="J262:J265" si="23">ROUND(G262*I262,2)</f>
        <v>3358.52</v>
      </c>
      <c r="K262" s="1137">
        <v>0</v>
      </c>
      <c r="L262" s="1048" t="s">
        <v>664</v>
      </c>
      <c r="M262" s="792"/>
      <c r="N262" s="868"/>
    </row>
    <row r="263" spans="1:14" s="154" customFormat="1" ht="23.25" customHeight="1">
      <c r="A263" s="1065" t="s">
        <v>345</v>
      </c>
      <c r="B263" s="1514" t="s">
        <v>87</v>
      </c>
      <c r="C263" s="1515"/>
      <c r="D263" s="1515"/>
      <c r="E263" s="1515"/>
      <c r="F263" s="1516"/>
      <c r="G263" s="236">
        <v>399.6</v>
      </c>
      <c r="H263" s="237" t="s">
        <v>50</v>
      </c>
      <c r="I263" s="861">
        <v>11.67</v>
      </c>
      <c r="J263" s="690">
        <f t="shared" si="23"/>
        <v>4663.33</v>
      </c>
      <c r="K263" s="1137">
        <v>0</v>
      </c>
      <c r="L263" s="1048" t="s">
        <v>664</v>
      </c>
      <c r="M263" s="792"/>
      <c r="N263" s="868"/>
    </row>
    <row r="264" spans="1:14" s="154" customFormat="1" ht="23.25" customHeight="1">
      <c r="A264" s="1065" t="s">
        <v>347</v>
      </c>
      <c r="B264" s="1514" t="s">
        <v>89</v>
      </c>
      <c r="C264" s="1515"/>
      <c r="D264" s="1515"/>
      <c r="E264" s="1515"/>
      <c r="F264" s="1516"/>
      <c r="G264" s="236">
        <v>4.4400000000000004</v>
      </c>
      <c r="H264" s="237" t="s">
        <v>92</v>
      </c>
      <c r="I264" s="861">
        <v>351.93</v>
      </c>
      <c r="J264" s="690">
        <f t="shared" si="23"/>
        <v>1562.57</v>
      </c>
      <c r="K264" s="1137">
        <v>0</v>
      </c>
      <c r="L264" s="1048" t="s">
        <v>664</v>
      </c>
      <c r="M264" s="792"/>
      <c r="N264" s="868"/>
    </row>
    <row r="265" spans="1:14" s="154" customFormat="1" ht="23.25" customHeight="1">
      <c r="A265" s="1065" t="s">
        <v>349</v>
      </c>
      <c r="B265" s="1514" t="s">
        <v>90</v>
      </c>
      <c r="C265" s="1515"/>
      <c r="D265" s="1515"/>
      <c r="E265" s="1515"/>
      <c r="F265" s="1516"/>
      <c r="G265" s="236">
        <v>4.4400000000000004</v>
      </c>
      <c r="H265" s="237" t="s">
        <v>92</v>
      </c>
      <c r="I265" s="861">
        <v>122.4</v>
      </c>
      <c r="J265" s="690">
        <f t="shared" si="23"/>
        <v>543.46</v>
      </c>
      <c r="K265" s="1137">
        <v>0</v>
      </c>
      <c r="L265" s="1048" t="s">
        <v>664</v>
      </c>
      <c r="M265" s="792"/>
      <c r="N265" s="868"/>
    </row>
    <row r="266" spans="1:14" s="16" customFormat="1" ht="19.149999999999999" customHeight="1">
      <c r="A266" s="1085"/>
      <c r="B266" s="934"/>
      <c r="C266" s="929"/>
      <c r="D266" s="929"/>
      <c r="E266" s="929"/>
      <c r="F266" s="930"/>
      <c r="G266" s="201"/>
      <c r="H266" s="186"/>
      <c r="I266" s="649"/>
      <c r="J266" s="670"/>
      <c r="K266" s="1159"/>
      <c r="L266" s="1052"/>
      <c r="M266" s="789"/>
      <c r="N266" s="800"/>
    </row>
    <row r="267" spans="1:14" s="16" customFormat="1" ht="13.9" customHeight="1">
      <c r="A267" s="1064">
        <v>2</v>
      </c>
      <c r="B267" s="1301" t="s">
        <v>351</v>
      </c>
      <c r="C267" s="1302"/>
      <c r="D267" s="1302"/>
      <c r="E267" s="1302"/>
      <c r="F267" s="1303"/>
      <c r="G267" s="221"/>
      <c r="H267" s="222"/>
      <c r="I267" s="648"/>
      <c r="J267" s="533">
        <f>ROUND(SUM(J268:J273),2)</f>
        <v>17883.349999999999</v>
      </c>
      <c r="K267" s="1146">
        <f>ROUND(SUM(K268:K273),2)</f>
        <v>0</v>
      </c>
      <c r="L267" s="1062"/>
      <c r="M267" s="789"/>
      <c r="N267" s="800"/>
    </row>
    <row r="268" spans="1:14" s="154" customFormat="1" ht="30.6" customHeight="1">
      <c r="A268" s="1067" t="s">
        <v>84</v>
      </c>
      <c r="B268" s="1514" t="s">
        <v>352</v>
      </c>
      <c r="C268" s="1515"/>
      <c r="D268" s="1515"/>
      <c r="E268" s="1515"/>
      <c r="F268" s="1516"/>
      <c r="G268" s="236">
        <v>0.45</v>
      </c>
      <c r="H268" s="732" t="s">
        <v>92</v>
      </c>
      <c r="I268" s="861">
        <v>58.08</v>
      </c>
      <c r="J268" s="690">
        <f>ROUND(G268*I268,2)</f>
        <v>26.14</v>
      </c>
      <c r="K268" s="1137">
        <v>0</v>
      </c>
      <c r="L268" s="1048" t="s">
        <v>664</v>
      </c>
      <c r="M268" s="792"/>
      <c r="N268" s="868"/>
    </row>
    <row r="269" spans="1:14" s="154" customFormat="1" ht="23.25" customHeight="1">
      <c r="A269" s="1065" t="s">
        <v>43</v>
      </c>
      <c r="B269" s="1514" t="s">
        <v>353</v>
      </c>
      <c r="C269" s="1515"/>
      <c r="D269" s="1515"/>
      <c r="E269" s="1515"/>
      <c r="F269" s="1516"/>
      <c r="G269" s="236">
        <v>142</v>
      </c>
      <c r="H269" s="237" t="s">
        <v>96</v>
      </c>
      <c r="I269" s="861">
        <v>52.9</v>
      </c>
      <c r="J269" s="690">
        <f t="shared" ref="J269:J273" si="24">ROUND(G269*I269,2)</f>
        <v>7511.8</v>
      </c>
      <c r="K269" s="1137">
        <v>0</v>
      </c>
      <c r="L269" s="1048" t="s">
        <v>664</v>
      </c>
      <c r="M269" s="792"/>
      <c r="N269" s="868"/>
    </row>
    <row r="270" spans="1:14" s="154" customFormat="1" ht="23.25" customHeight="1">
      <c r="A270" s="1065" t="s">
        <v>240</v>
      </c>
      <c r="B270" s="1514" t="s">
        <v>89</v>
      </c>
      <c r="C270" s="1515"/>
      <c r="D270" s="1515"/>
      <c r="E270" s="1515"/>
      <c r="F270" s="1516"/>
      <c r="G270" s="236">
        <v>1.53</v>
      </c>
      <c r="H270" s="237" t="s">
        <v>92</v>
      </c>
      <c r="I270" s="861">
        <v>351.93</v>
      </c>
      <c r="J270" s="690">
        <f t="shared" si="24"/>
        <v>538.45000000000005</v>
      </c>
      <c r="K270" s="1137">
        <v>0</v>
      </c>
      <c r="L270" s="1048" t="s">
        <v>664</v>
      </c>
      <c r="M270" s="792"/>
      <c r="N270" s="868"/>
    </row>
    <row r="271" spans="1:14" s="154" customFormat="1" ht="23.25" customHeight="1">
      <c r="A271" s="1065" t="s">
        <v>45</v>
      </c>
      <c r="B271" s="1514" t="s">
        <v>354</v>
      </c>
      <c r="C271" s="1515"/>
      <c r="D271" s="1515"/>
      <c r="E271" s="1515"/>
      <c r="F271" s="1516"/>
      <c r="G271" s="236">
        <v>137.69999999999999</v>
      </c>
      <c r="H271" s="237" t="s">
        <v>50</v>
      </c>
      <c r="I271" s="861">
        <v>11.67</v>
      </c>
      <c r="J271" s="690">
        <f t="shared" si="24"/>
        <v>1606.96</v>
      </c>
      <c r="K271" s="1137">
        <v>0</v>
      </c>
      <c r="L271" s="1048" t="s">
        <v>664</v>
      </c>
      <c r="M271" s="792"/>
      <c r="N271" s="868"/>
    </row>
    <row r="272" spans="1:14" s="154" customFormat="1" ht="23.25" customHeight="1">
      <c r="A272" s="1065" t="s">
        <v>47</v>
      </c>
      <c r="B272" s="1514" t="s">
        <v>321</v>
      </c>
      <c r="C272" s="1515"/>
      <c r="D272" s="1515"/>
      <c r="E272" s="1515"/>
      <c r="F272" s="1516"/>
      <c r="G272" s="236">
        <v>1.53</v>
      </c>
      <c r="H272" s="237" t="s">
        <v>92</v>
      </c>
      <c r="I272" s="861">
        <v>84.54</v>
      </c>
      <c r="J272" s="690">
        <f t="shared" si="24"/>
        <v>129.35</v>
      </c>
      <c r="K272" s="1137">
        <v>0</v>
      </c>
      <c r="L272" s="1048" t="s">
        <v>664</v>
      </c>
      <c r="M272" s="792"/>
      <c r="N272" s="868"/>
    </row>
    <row r="273" spans="1:15" s="154" customFormat="1" ht="23.25" customHeight="1">
      <c r="A273" s="1067" t="s">
        <v>48</v>
      </c>
      <c r="B273" s="1514" t="s">
        <v>323</v>
      </c>
      <c r="C273" s="1515"/>
      <c r="D273" s="1515"/>
      <c r="E273" s="1515"/>
      <c r="F273" s="1516"/>
      <c r="G273" s="236">
        <v>40.799999999999997</v>
      </c>
      <c r="H273" s="237" t="s">
        <v>96</v>
      </c>
      <c r="I273" s="861">
        <v>197.81</v>
      </c>
      <c r="J273" s="690">
        <f t="shared" si="24"/>
        <v>8070.65</v>
      </c>
      <c r="K273" s="1137">
        <v>0</v>
      </c>
      <c r="L273" s="1048" t="s">
        <v>664</v>
      </c>
      <c r="M273" s="792"/>
      <c r="N273" s="868"/>
    </row>
    <row r="274" spans="1:15" s="16" customFormat="1" ht="18" customHeight="1">
      <c r="A274" s="1075"/>
      <c r="B274" s="543"/>
      <c r="C274" s="967"/>
      <c r="D274" s="967"/>
      <c r="E274" s="967"/>
      <c r="F274" s="968"/>
      <c r="G274" s="201"/>
      <c r="H274" s="202"/>
      <c r="I274" s="650"/>
      <c r="J274" s="703"/>
      <c r="K274" s="1160"/>
      <c r="L274" s="1052"/>
      <c r="M274" s="789"/>
      <c r="N274" s="800"/>
    </row>
    <row r="275" spans="1:15" s="16" customFormat="1" ht="16.149999999999999" customHeight="1">
      <c r="A275" s="1069">
        <v>3</v>
      </c>
      <c r="B275" s="1301" t="s">
        <v>208</v>
      </c>
      <c r="C275" s="1302"/>
      <c r="D275" s="1302"/>
      <c r="E275" s="1302"/>
      <c r="F275" s="1303"/>
      <c r="G275" s="221"/>
      <c r="H275" s="222"/>
      <c r="I275" s="651"/>
      <c r="J275" s="704">
        <f>ROUND(SUM(J276:J277),2)</f>
        <v>6341.72</v>
      </c>
      <c r="K275" s="1146">
        <f>ROUND(SUM(K276:K277),2)</f>
        <v>0</v>
      </c>
      <c r="L275" s="1062"/>
      <c r="M275" s="789"/>
      <c r="N275" s="800"/>
    </row>
    <row r="276" spans="1:15" s="154" customFormat="1" ht="23.25" customHeight="1">
      <c r="A276" s="1065" t="s">
        <v>54</v>
      </c>
      <c r="B276" s="1514" t="s">
        <v>65</v>
      </c>
      <c r="C276" s="1515"/>
      <c r="D276" s="1515"/>
      <c r="E276" s="1515"/>
      <c r="F276" s="1516"/>
      <c r="G276" s="236">
        <v>284</v>
      </c>
      <c r="H276" s="237" t="s">
        <v>96</v>
      </c>
      <c r="I276" s="861">
        <v>5.42</v>
      </c>
      <c r="J276" s="690">
        <f>ROUND(G276*I276,2)</f>
        <v>1539.28</v>
      </c>
      <c r="K276" s="1137">
        <v>0</v>
      </c>
      <c r="L276" s="1048" t="s">
        <v>664</v>
      </c>
      <c r="M276" s="792"/>
      <c r="N276" s="868"/>
    </row>
    <row r="277" spans="1:15" s="154" customFormat="1" ht="23.25" customHeight="1">
      <c r="A277" s="1067" t="s">
        <v>95</v>
      </c>
      <c r="B277" s="1514" t="s">
        <v>66</v>
      </c>
      <c r="C277" s="1515"/>
      <c r="D277" s="1515"/>
      <c r="E277" s="1515"/>
      <c r="F277" s="1516"/>
      <c r="G277" s="236">
        <v>284</v>
      </c>
      <c r="H277" s="237" t="s">
        <v>96</v>
      </c>
      <c r="I277" s="861">
        <v>16.91</v>
      </c>
      <c r="J277" s="690">
        <f>ROUND(G277*I277,2)</f>
        <v>4802.4399999999996</v>
      </c>
      <c r="K277" s="1137">
        <v>0</v>
      </c>
      <c r="L277" s="1048" t="s">
        <v>664</v>
      </c>
      <c r="M277" s="792"/>
      <c r="N277" s="868"/>
    </row>
    <row r="278" spans="1:15" s="16" customFormat="1" ht="13.9" customHeight="1">
      <c r="A278" s="1087"/>
      <c r="B278" s="596"/>
      <c r="C278" s="556"/>
      <c r="D278" s="556"/>
      <c r="E278" s="556"/>
      <c r="F278" s="556"/>
      <c r="G278" s="557"/>
      <c r="H278" s="555"/>
      <c r="I278" s="628"/>
      <c r="J278" s="558"/>
      <c r="K278" s="1161"/>
      <c r="L278" s="584"/>
      <c r="M278" s="789"/>
    </row>
    <row r="279" spans="1:15" s="16" customFormat="1" ht="13.9" customHeight="1" thickBot="1">
      <c r="A279" s="1088"/>
      <c r="B279" s="597"/>
      <c r="C279" s="560"/>
      <c r="D279" s="560"/>
      <c r="E279" s="560"/>
      <c r="F279" s="560"/>
      <c r="G279" s="561"/>
      <c r="H279" s="559"/>
      <c r="I279" s="644"/>
      <c r="J279" s="562"/>
      <c r="K279" s="1162"/>
      <c r="L279" s="584"/>
      <c r="M279" s="789"/>
    </row>
    <row r="280" spans="1:15" s="16" customFormat="1" ht="16.899999999999999" customHeight="1" thickTop="1">
      <c r="A280" s="1069">
        <v>4</v>
      </c>
      <c r="B280" s="1301" t="s">
        <v>350</v>
      </c>
      <c r="C280" s="1302"/>
      <c r="D280" s="1302"/>
      <c r="E280" s="1302"/>
      <c r="F280" s="1303"/>
      <c r="G280" s="221"/>
      <c r="H280" s="222"/>
      <c r="I280" s="651"/>
      <c r="J280" s="704">
        <f>J281</f>
        <v>6838.72</v>
      </c>
      <c r="K280" s="1163">
        <f>K281</f>
        <v>6838.72</v>
      </c>
      <c r="L280" s="1062"/>
      <c r="M280" s="789"/>
    </row>
    <row r="281" spans="1:15" s="154" customFormat="1" ht="25.9" customHeight="1">
      <c r="A281" s="1067" t="s">
        <v>58</v>
      </c>
      <c r="B281" s="955" t="s">
        <v>193</v>
      </c>
      <c r="C281" s="953"/>
      <c r="D281" s="953"/>
      <c r="E281" s="953"/>
      <c r="F281" s="954"/>
      <c r="G281" s="236">
        <v>284</v>
      </c>
      <c r="H281" s="237" t="s">
        <v>96</v>
      </c>
      <c r="I281" s="861">
        <v>24.08</v>
      </c>
      <c r="J281" s="727">
        <f>ROUND(G281*I281,2)</f>
        <v>6838.72</v>
      </c>
      <c r="K281" s="1137">
        <f>J281</f>
        <v>6838.72</v>
      </c>
      <c r="L281" s="1048" t="s">
        <v>634</v>
      </c>
      <c r="M281" s="792"/>
    </row>
    <row r="282" spans="1:15" s="16" customFormat="1" ht="12.4" customHeight="1">
      <c r="A282" s="1085"/>
      <c r="B282" s="934"/>
      <c r="C282" s="929"/>
      <c r="D282" s="929"/>
      <c r="E282" s="929"/>
      <c r="F282" s="930"/>
      <c r="G282" s="201"/>
      <c r="H282" s="186"/>
      <c r="I282" s="649"/>
      <c r="J282" s="670"/>
      <c r="K282" s="1159"/>
      <c r="L282" s="1052"/>
      <c r="M282" s="789"/>
    </row>
    <row r="283" spans="1:15" s="858" customFormat="1" ht="12.4" customHeight="1">
      <c r="A283" s="1089"/>
      <c r="B283" s="931"/>
      <c r="C283" s="931"/>
      <c r="D283" s="931"/>
      <c r="E283" s="931"/>
      <c r="F283" s="931"/>
      <c r="G283" s="940"/>
      <c r="H283" s="927" t="s">
        <v>286</v>
      </c>
      <c r="I283" s="856"/>
      <c r="J283" s="666">
        <f>SUM(J260+J267+J275+J280)</f>
        <v>41385.08</v>
      </c>
      <c r="K283" s="1131">
        <f>SUM(K260+K267+K275+K280)</f>
        <v>6838.72</v>
      </c>
      <c r="L283" s="1061"/>
      <c r="M283" s="857"/>
    </row>
    <row r="284" spans="1:15" s="16" customFormat="1" ht="12.4" customHeight="1">
      <c r="A284" s="1085"/>
      <c r="B284" s="934"/>
      <c r="C284" s="929"/>
      <c r="D284" s="929"/>
      <c r="E284" s="929"/>
      <c r="F284" s="930"/>
      <c r="G284" s="201"/>
      <c r="H284" s="186"/>
      <c r="I284" s="649"/>
      <c r="J284" s="670"/>
      <c r="K284" s="1159"/>
      <c r="L284" s="1052"/>
      <c r="M284" s="789"/>
    </row>
    <row r="285" spans="1:15" s="16" customFormat="1" ht="15" customHeight="1">
      <c r="A285" s="1725" t="s">
        <v>21</v>
      </c>
      <c r="B285" s="1549"/>
      <c r="C285" s="1550"/>
      <c r="D285" s="1550"/>
      <c r="E285" s="1550"/>
      <c r="F285" s="1550"/>
      <c r="G285" s="1550"/>
      <c r="H285" s="1550"/>
      <c r="I285" s="652" t="s">
        <v>22</v>
      </c>
      <c r="J285" s="705">
        <f>ROUND(SUM(J161+J256+J283),2)</f>
        <v>348183.72</v>
      </c>
      <c r="K285" s="1164"/>
      <c r="L285" s="1039"/>
      <c r="M285" s="789"/>
      <c r="N285" s="171"/>
      <c r="O285" s="800"/>
    </row>
    <row r="286" spans="1:15" s="16" customFormat="1" ht="16.899999999999999" customHeight="1">
      <c r="A286" s="1725" t="s">
        <v>538</v>
      </c>
      <c r="B286" s="1549"/>
      <c r="C286" s="1550"/>
      <c r="D286" s="1550"/>
      <c r="E286" s="1550"/>
      <c r="F286" s="1550"/>
      <c r="G286" s="1550"/>
      <c r="H286" s="1550"/>
      <c r="I286" s="653"/>
      <c r="J286" s="706">
        <v>129023.61</v>
      </c>
      <c r="K286" s="1165">
        <f>ROUND(SUM(K161+K256+K283),2)</f>
        <v>136114.07999999999</v>
      </c>
      <c r="L286" s="1040"/>
      <c r="M286" s="789"/>
    </row>
    <row r="287" spans="1:15" s="16" customFormat="1" ht="16.899999999999999" customHeight="1">
      <c r="A287" s="1725" t="s">
        <v>539</v>
      </c>
      <c r="B287" s="1550"/>
      <c r="C287" s="1550"/>
      <c r="D287" s="1550"/>
      <c r="E287" s="1550"/>
      <c r="F287" s="1550"/>
      <c r="G287" s="1550"/>
      <c r="H287" s="1550"/>
      <c r="I287" s="653"/>
      <c r="J287" s="706">
        <f>M256</f>
        <v>181534.41999999998</v>
      </c>
      <c r="K287" s="1166"/>
      <c r="L287" s="864"/>
      <c r="M287" s="789"/>
    </row>
    <row r="288" spans="1:15" s="16" customFormat="1" ht="16.899999999999999" customHeight="1">
      <c r="A288" s="1726" t="s">
        <v>540</v>
      </c>
      <c r="B288" s="1317"/>
      <c r="C288" s="1317"/>
      <c r="D288" s="1317"/>
      <c r="E288" s="1317"/>
      <c r="F288" s="1317"/>
      <c r="G288" s="1317"/>
      <c r="H288" s="1318"/>
      <c r="I288" s="1641">
        <v>50465.58</v>
      </c>
      <c r="J288" s="1731"/>
      <c r="K288" s="1167"/>
      <c r="L288" s="1287">
        <v>0.39114041879711892</v>
      </c>
      <c r="M288" s="789"/>
    </row>
    <row r="289" spans="1:16" s="16" customFormat="1" ht="15.6" customHeight="1">
      <c r="A289" s="1725" t="s">
        <v>25</v>
      </c>
      <c r="B289" s="1550"/>
      <c r="C289" s="1550"/>
      <c r="D289" s="1550"/>
      <c r="E289" s="1550"/>
      <c r="F289" s="1550"/>
      <c r="G289" s="1550"/>
      <c r="H289" s="1550"/>
      <c r="I289" s="653" t="s">
        <v>26</v>
      </c>
      <c r="J289" s="706">
        <v>7055.51</v>
      </c>
      <c r="K289" s="1166"/>
      <c r="L289" s="1287">
        <v>5.4684592305647338E-2</v>
      </c>
      <c r="M289" s="789"/>
      <c r="O289" s="800"/>
    </row>
    <row r="290" spans="1:16" s="16" customFormat="1" ht="15.6" customHeight="1">
      <c r="A290" s="1726" t="s">
        <v>434</v>
      </c>
      <c r="B290" s="1317"/>
      <c r="C290" s="1317"/>
      <c r="D290" s="1317"/>
      <c r="E290" s="1317"/>
      <c r="F290" s="1317"/>
      <c r="G290" s="1317"/>
      <c r="H290" s="1318"/>
      <c r="I290" s="653"/>
      <c r="J290" s="1038">
        <v>71502.52</v>
      </c>
      <c r="K290" s="1168"/>
      <c r="L290" s="1287">
        <v>0.55417498889723382</v>
      </c>
      <c r="M290" s="789" t="s">
        <v>524</v>
      </c>
    </row>
    <row r="291" spans="1:16" s="16" customFormat="1" ht="15.6" customHeight="1">
      <c r="A291" s="1726" t="s">
        <v>704</v>
      </c>
      <c r="B291" s="1317"/>
      <c r="C291" s="1317"/>
      <c r="D291" s="1317"/>
      <c r="E291" s="1317"/>
      <c r="F291" s="1317"/>
      <c r="G291" s="1317"/>
      <c r="H291" s="1318"/>
      <c r="I291" s="653"/>
      <c r="J291" s="1038">
        <f>K286-J286</f>
        <v>7090.4699999999866</v>
      </c>
      <c r="K291" s="1168"/>
      <c r="L291" s="1287"/>
      <c r="M291" s="789"/>
    </row>
    <row r="292" spans="1:16" s="16" customFormat="1" ht="31.9" customHeight="1" thickBot="1">
      <c r="A292" s="1727" t="s">
        <v>435</v>
      </c>
      <c r="B292" s="1728"/>
      <c r="C292" s="1728"/>
      <c r="D292" s="1729" t="s">
        <v>431</v>
      </c>
      <c r="E292" s="1730"/>
      <c r="F292" s="1730"/>
      <c r="G292" s="1730"/>
      <c r="H292" s="1730"/>
      <c r="I292" s="1730"/>
      <c r="J292" s="1730"/>
      <c r="K292" s="1169"/>
      <c r="L292" s="1288">
        <f>I288+J289+J290</f>
        <v>129023.61000000002</v>
      </c>
      <c r="M292" s="792"/>
    </row>
    <row r="293" spans="1:16" s="16" customFormat="1" ht="14.45" customHeight="1">
      <c r="A293" s="288"/>
      <c r="B293" s="288"/>
      <c r="C293" s="288"/>
      <c r="D293" s="288"/>
      <c r="E293" s="288"/>
      <c r="F293" s="288"/>
      <c r="G293" s="290"/>
      <c r="H293" s="175"/>
      <c r="I293" s="628"/>
      <c r="J293" s="286"/>
      <c r="K293" s="1170"/>
      <c r="L293" s="605"/>
      <c r="M293" s="789"/>
      <c r="O293" s="859">
        <f>J285+J286</f>
        <v>477207.32999999996</v>
      </c>
    </row>
    <row r="294" spans="1:16" s="16" customFormat="1" ht="16.899999999999999" hidden="1" customHeight="1" thickTop="1">
      <c r="A294" s="1636" t="s">
        <v>29</v>
      </c>
      <c r="B294" s="1637"/>
      <c r="C294" s="1637"/>
      <c r="D294" s="1637"/>
      <c r="E294" s="1637"/>
      <c r="F294" s="1637"/>
      <c r="G294" s="1637"/>
      <c r="H294" s="1637"/>
      <c r="I294" s="1637"/>
      <c r="J294" s="1638"/>
      <c r="K294" s="1171"/>
      <c r="L294" s="681"/>
      <c r="M294" s="789"/>
    </row>
    <row r="295" spans="1:16" s="16" customFormat="1" ht="16.149999999999999" hidden="1" customHeight="1">
      <c r="A295" s="1528" t="s">
        <v>681</v>
      </c>
      <c r="B295" s="1294"/>
      <c r="C295" s="1294"/>
      <c r="D295" s="1294"/>
      <c r="E295" s="1294"/>
      <c r="F295" s="1294"/>
      <c r="G295" s="1294"/>
      <c r="H295" s="1294"/>
      <c r="I295" s="1294"/>
      <c r="J295" s="1289"/>
      <c r="K295" s="1172"/>
      <c r="L295" s="714"/>
      <c r="M295" s="789"/>
    </row>
    <row r="296" spans="1:16" s="16" customFormat="1" ht="13.5" hidden="1" customHeight="1">
      <c r="A296" s="1476" t="s">
        <v>204</v>
      </c>
      <c r="B296" s="1534" t="s">
        <v>203</v>
      </c>
      <c r="C296" s="1535"/>
      <c r="D296" s="1535"/>
      <c r="E296" s="1535"/>
      <c r="F296" s="1532" t="s">
        <v>202</v>
      </c>
      <c r="G296" s="1639" t="s">
        <v>198</v>
      </c>
      <c r="H296" s="1640"/>
      <c r="I296" s="109"/>
      <c r="J296" s="1639" t="s">
        <v>199</v>
      </c>
      <c r="K296" s="1724" t="s">
        <v>680</v>
      </c>
      <c r="L296" s="684"/>
      <c r="M296" s="789"/>
    </row>
    <row r="297" spans="1:16" s="17" customFormat="1" ht="39.6" hidden="1" customHeight="1">
      <c r="A297" s="1477"/>
      <c r="B297" s="1537"/>
      <c r="C297" s="1538"/>
      <c r="D297" s="1538"/>
      <c r="E297" s="1538"/>
      <c r="F297" s="1533"/>
      <c r="G297" s="248" t="s">
        <v>200</v>
      </c>
      <c r="H297" s="521" t="s">
        <v>201</v>
      </c>
      <c r="I297" s="654" t="s">
        <v>436</v>
      </c>
      <c r="J297" s="1639"/>
      <c r="K297" s="1724"/>
      <c r="L297" s="684"/>
      <c r="M297" s="789"/>
      <c r="O297" s="16"/>
    </row>
    <row r="298" spans="1:16" s="17" customFormat="1" ht="13.9" hidden="1" customHeight="1">
      <c r="A298" s="1526" t="s">
        <v>205</v>
      </c>
      <c r="B298" s="1317"/>
      <c r="C298" s="1317"/>
      <c r="D298" s="1317"/>
      <c r="E298" s="1317"/>
      <c r="F298" s="1317"/>
      <c r="G298" s="1317"/>
      <c r="H298" s="1317"/>
      <c r="I298" s="1317"/>
      <c r="J298" s="1317"/>
      <c r="K298" s="1255">
        <f>SUM(K299:K304)</f>
        <v>80136.112425230327</v>
      </c>
      <c r="L298" s="684"/>
      <c r="M298" s="796" t="s">
        <v>314</v>
      </c>
    </row>
    <row r="299" spans="1:16" s="17" customFormat="1" ht="25.15" hidden="1" customHeight="1">
      <c r="A299" s="468">
        <v>1</v>
      </c>
      <c r="B299" s="1444" t="s">
        <v>36</v>
      </c>
      <c r="C299" s="1445"/>
      <c r="D299" s="1445"/>
      <c r="E299" s="1445"/>
      <c r="F299" s="580"/>
      <c r="G299" s="268">
        <f>ROUND(O299*L288,2)+N299</f>
        <v>8573.130000000001</v>
      </c>
      <c r="H299" s="269">
        <f>ROUND(O299*$L$289,2)</f>
        <v>778.95</v>
      </c>
      <c r="I299" s="579">
        <f>O299*L290</f>
        <v>7893.8735865980907</v>
      </c>
      <c r="J299" s="709">
        <f>ROUND(SUM(G299:I299),2)</f>
        <v>17245.95</v>
      </c>
      <c r="K299" s="1256">
        <f>K120</f>
        <v>16655.05</v>
      </c>
      <c r="L299" s="715">
        <v>16655.05</v>
      </c>
      <c r="M299" s="796">
        <f>SUM(J120)</f>
        <v>17245.95</v>
      </c>
      <c r="N299" s="801">
        <f>M121</f>
        <v>3001.58</v>
      </c>
      <c r="O299" s="801">
        <f>M299-N299</f>
        <v>14244.37</v>
      </c>
    </row>
    <row r="300" spans="1:16" s="17" customFormat="1" ht="15" hidden="1" customHeight="1">
      <c r="A300" s="468">
        <v>2</v>
      </c>
      <c r="B300" s="1437" t="s">
        <v>42</v>
      </c>
      <c r="C300" s="1438"/>
      <c r="D300" s="1438"/>
      <c r="E300" s="1438"/>
      <c r="F300" s="581"/>
      <c r="G300" s="268">
        <f>M300-1.39</f>
        <v>59298.12</v>
      </c>
      <c r="H300" s="269">
        <v>0</v>
      </c>
      <c r="I300" s="579">
        <v>0</v>
      </c>
      <c r="J300" s="709">
        <f t="shared" ref="J300:J323" si="25">ROUND(SUM(G300:I300),2)</f>
        <v>59298.12</v>
      </c>
      <c r="K300" s="1256">
        <v>0</v>
      </c>
      <c r="L300" s="715">
        <v>0</v>
      </c>
      <c r="M300" s="796">
        <f>SUM(J128)</f>
        <v>59299.51</v>
      </c>
      <c r="N300" s="801"/>
    </row>
    <row r="301" spans="1:16" s="17" customFormat="1" ht="15" hidden="1" customHeight="1">
      <c r="A301" s="468">
        <v>3</v>
      </c>
      <c r="B301" s="1437" t="s">
        <v>53</v>
      </c>
      <c r="C301" s="1438"/>
      <c r="D301" s="1438"/>
      <c r="E301" s="1438"/>
      <c r="F301" s="581"/>
      <c r="G301" s="268">
        <f>J135</f>
        <v>3159.05</v>
      </c>
      <c r="H301" s="269">
        <v>0</v>
      </c>
      <c r="I301" s="579">
        <v>0</v>
      </c>
      <c r="J301" s="709">
        <f t="shared" si="25"/>
        <v>3159.05</v>
      </c>
      <c r="K301" s="1256">
        <v>0</v>
      </c>
      <c r="L301" s="715">
        <v>0</v>
      </c>
      <c r="M301" s="796">
        <f>SUM(J134)</f>
        <v>3159.05</v>
      </c>
      <c r="N301" s="801"/>
      <c r="P301" s="129"/>
    </row>
    <row r="302" spans="1:16" s="17" customFormat="1" ht="15" hidden="1" customHeight="1">
      <c r="A302" s="468">
        <v>4</v>
      </c>
      <c r="B302" s="1437" t="s">
        <v>206</v>
      </c>
      <c r="C302" s="1438"/>
      <c r="D302" s="1438"/>
      <c r="E302" s="1438"/>
      <c r="F302" s="581"/>
      <c r="G302" s="268">
        <f>ROUND(O302*L288,2)+N302</f>
        <v>45725.03</v>
      </c>
      <c r="H302" s="269">
        <f>ROUND(O302*$L$289,2)</f>
        <v>866.55</v>
      </c>
      <c r="I302" s="579">
        <f>O302*L290</f>
        <v>8781.6785440611275</v>
      </c>
      <c r="J302" s="709">
        <f t="shared" si="25"/>
        <v>55373.26</v>
      </c>
      <c r="K302" s="1256">
        <f>K137</f>
        <v>15846.4</v>
      </c>
      <c r="L302" s="715">
        <v>15846.4</v>
      </c>
      <c r="M302" s="796">
        <f>SUM(J137)</f>
        <v>55373.26</v>
      </c>
      <c r="N302" s="801">
        <f>SUM(J138:J142)</f>
        <v>39526.86</v>
      </c>
      <c r="O302" s="801">
        <f>M302-N302</f>
        <v>15846.400000000001</v>
      </c>
      <c r="P302" s="129"/>
    </row>
    <row r="303" spans="1:16" s="17" customFormat="1" ht="15" hidden="1" customHeight="1">
      <c r="A303" s="468">
        <v>5</v>
      </c>
      <c r="B303" s="1437" t="s">
        <v>78</v>
      </c>
      <c r="C303" s="1438"/>
      <c r="D303" s="1438"/>
      <c r="E303" s="1438"/>
      <c r="F303" s="581"/>
      <c r="G303" s="268">
        <f>O303*L288+N303</f>
        <v>61814.179957330482</v>
      </c>
      <c r="H303" s="269">
        <f>ROUND(O303*$L$289,2)-0.01</f>
        <v>2101.77</v>
      </c>
      <c r="I303" s="579">
        <f>O303*L290-0.06</f>
        <v>21299.468622770946</v>
      </c>
      <c r="J303" s="709">
        <f>ROUND(SUM(G303:I303),2)</f>
        <v>85215.42</v>
      </c>
      <c r="K303" s="1256">
        <f>K145</f>
        <v>38434.66242523033</v>
      </c>
      <c r="L303" s="715">
        <v>38434.660000000003</v>
      </c>
      <c r="M303" s="796">
        <f>SUM(J145)</f>
        <v>85215.492425230332</v>
      </c>
      <c r="N303" s="801">
        <f>SUM(M146:M154)</f>
        <v>46780.83</v>
      </c>
      <c r="O303" s="801">
        <f>M303-N303</f>
        <v>38434.66242523033</v>
      </c>
    </row>
    <row r="304" spans="1:16" s="17" customFormat="1" ht="15" hidden="1" customHeight="1">
      <c r="A304" s="468">
        <v>6</v>
      </c>
      <c r="B304" s="1437" t="s">
        <v>82</v>
      </c>
      <c r="C304" s="1438"/>
      <c r="D304" s="1438"/>
      <c r="E304" s="1438"/>
      <c r="F304" s="581"/>
      <c r="G304" s="268">
        <f>ROUND(M304*L288,2)</f>
        <v>3598.49</v>
      </c>
      <c r="H304" s="269">
        <f t="shared" ref="H304" si="26">ROUND(M304*$L$289,2)</f>
        <v>503.1</v>
      </c>
      <c r="I304" s="579">
        <f>M304*L290</f>
        <v>5098.4098978545508</v>
      </c>
      <c r="J304" s="709">
        <f t="shared" si="25"/>
        <v>9200</v>
      </c>
      <c r="K304" s="1256">
        <f>K158</f>
        <v>9200</v>
      </c>
      <c r="L304" s="715">
        <v>9200</v>
      </c>
      <c r="M304" s="796">
        <f>SUM(J158)</f>
        <v>9200</v>
      </c>
      <c r="N304" s="801"/>
    </row>
    <row r="305" spans="1:15" s="17" customFormat="1" ht="12" hidden="1" customHeight="1">
      <c r="A305" s="470"/>
      <c r="B305" s="939"/>
      <c r="C305" s="939"/>
      <c r="D305" s="939"/>
      <c r="E305" s="939"/>
      <c r="F305" s="939"/>
      <c r="G305" s="268"/>
      <c r="H305" s="269"/>
      <c r="I305" s="579"/>
      <c r="J305" s="709"/>
      <c r="K305" s="1256"/>
      <c r="L305" s="715"/>
      <c r="M305" s="789"/>
    </row>
    <row r="306" spans="1:15" s="17" customFormat="1" ht="13.9" hidden="1" customHeight="1">
      <c r="A306" s="586" t="s">
        <v>210</v>
      </c>
      <c r="B306" s="587"/>
      <c r="C306" s="587"/>
      <c r="D306" s="587"/>
      <c r="E306" s="587"/>
      <c r="F306" s="587"/>
      <c r="G306" s="622"/>
      <c r="H306" s="623"/>
      <c r="I306" s="624"/>
      <c r="J306" s="710"/>
      <c r="K306" s="1257">
        <f>SUM(K307:K317)</f>
        <v>49139.25</v>
      </c>
      <c r="L306" s="715"/>
      <c r="M306" s="789"/>
    </row>
    <row r="307" spans="1:15" s="17" customFormat="1" ht="15" hidden="1" customHeight="1">
      <c r="A307" s="472">
        <v>1</v>
      </c>
      <c r="B307" s="1444" t="s">
        <v>36</v>
      </c>
      <c r="C307" s="1445"/>
      <c r="D307" s="1445"/>
      <c r="E307" s="1445"/>
      <c r="F307" s="580"/>
      <c r="G307" s="268">
        <f>J165</f>
        <v>186.32</v>
      </c>
      <c r="H307" s="269">
        <v>0</v>
      </c>
      <c r="I307" s="579">
        <v>0</v>
      </c>
      <c r="J307" s="709">
        <f>ROUND(SUM(G307:I307),2)</f>
        <v>186.32</v>
      </c>
      <c r="K307" s="1256">
        <v>0</v>
      </c>
      <c r="L307" s="715">
        <v>0</v>
      </c>
      <c r="M307" s="796">
        <f>SUM(J164)</f>
        <v>186.32</v>
      </c>
      <c r="N307" s="801"/>
    </row>
    <row r="308" spans="1:15" s="17" customFormat="1" ht="15" hidden="1" customHeight="1">
      <c r="A308" s="472">
        <v>2</v>
      </c>
      <c r="B308" s="1437" t="s">
        <v>42</v>
      </c>
      <c r="C308" s="1438"/>
      <c r="D308" s="1438"/>
      <c r="E308" s="1438"/>
      <c r="F308" s="581"/>
      <c r="G308" s="268">
        <f>SUM(J168:J173)</f>
        <v>2360.84</v>
      </c>
      <c r="H308" s="269">
        <v>0</v>
      </c>
      <c r="I308" s="579">
        <v>0</v>
      </c>
      <c r="J308" s="709">
        <f t="shared" si="25"/>
        <v>2360.84</v>
      </c>
      <c r="K308" s="1256">
        <v>0</v>
      </c>
      <c r="L308" s="715">
        <v>0</v>
      </c>
      <c r="M308" s="796">
        <f>SUM(J167)</f>
        <v>2360.84</v>
      </c>
      <c r="N308" s="801"/>
    </row>
    <row r="309" spans="1:15" s="17" customFormat="1" ht="15" hidden="1" customHeight="1">
      <c r="A309" s="472">
        <v>3</v>
      </c>
      <c r="B309" s="1437" t="s">
        <v>207</v>
      </c>
      <c r="C309" s="1438"/>
      <c r="D309" s="1438"/>
      <c r="E309" s="1438"/>
      <c r="F309" s="581"/>
      <c r="G309" s="268">
        <f>O309*L288+N309</f>
        <v>3334.9387928576466</v>
      </c>
      <c r="H309" s="269">
        <f>ROUND(O309*$L$289,2)</f>
        <v>386.93</v>
      </c>
      <c r="I309" s="579">
        <f>O309*L290</f>
        <v>3921.1427184408235</v>
      </c>
      <c r="J309" s="709">
        <f t="shared" si="25"/>
        <v>7643.01</v>
      </c>
      <c r="K309" s="1256">
        <f>K174</f>
        <v>7075.64</v>
      </c>
      <c r="L309" s="715">
        <v>7075.64</v>
      </c>
      <c r="M309" s="796">
        <f>SUM(J174)</f>
        <v>7643.01</v>
      </c>
      <c r="N309" s="801">
        <f>SUM(M175:M177)</f>
        <v>567.37</v>
      </c>
      <c r="O309" s="801">
        <f>M309-N309</f>
        <v>7075.64</v>
      </c>
    </row>
    <row r="310" spans="1:15" s="17" customFormat="1" ht="15" hidden="1" customHeight="1">
      <c r="A310" s="472">
        <v>4</v>
      </c>
      <c r="B310" s="1444" t="s">
        <v>98</v>
      </c>
      <c r="C310" s="1445"/>
      <c r="D310" s="1445"/>
      <c r="E310" s="1445"/>
      <c r="F310" s="580"/>
      <c r="G310" s="268">
        <f>SUM(J182:J184)</f>
        <v>6543.24</v>
      </c>
      <c r="H310" s="269">
        <v>0</v>
      </c>
      <c r="I310" s="579">
        <v>0</v>
      </c>
      <c r="J310" s="709">
        <f t="shared" si="25"/>
        <v>6543.24</v>
      </c>
      <c r="K310" s="1256">
        <v>0</v>
      </c>
      <c r="L310" s="715">
        <v>0</v>
      </c>
      <c r="M310" s="796">
        <f>SUM(J181)</f>
        <v>6543.24</v>
      </c>
      <c r="N310" s="801"/>
    </row>
    <row r="311" spans="1:15" s="17" customFormat="1" ht="15" hidden="1" customHeight="1">
      <c r="A311" s="472">
        <v>5</v>
      </c>
      <c r="B311" s="1437" t="s">
        <v>100</v>
      </c>
      <c r="C311" s="1438"/>
      <c r="D311" s="1438"/>
      <c r="E311" s="1438"/>
      <c r="F311" s="581"/>
      <c r="G311" s="268">
        <f>J187</f>
        <v>2012.28</v>
      </c>
      <c r="H311" s="269">
        <v>0</v>
      </c>
      <c r="I311" s="579">
        <v>0</v>
      </c>
      <c r="J311" s="709">
        <f t="shared" si="25"/>
        <v>2012.28</v>
      </c>
      <c r="K311" s="1256">
        <v>0</v>
      </c>
      <c r="L311" s="715">
        <v>0</v>
      </c>
      <c r="M311" s="796">
        <f>SUM(J186)</f>
        <v>2012.28</v>
      </c>
      <c r="N311" s="801"/>
    </row>
    <row r="312" spans="1:15" s="17" customFormat="1" ht="15" hidden="1" customHeight="1">
      <c r="A312" s="472">
        <v>6</v>
      </c>
      <c r="B312" s="1437" t="s">
        <v>102</v>
      </c>
      <c r="C312" s="1438"/>
      <c r="D312" s="1438"/>
      <c r="E312" s="1438"/>
      <c r="F312" s="581"/>
      <c r="G312" s="268">
        <f>SUM(J190:J192)</f>
        <v>4477.58</v>
      </c>
      <c r="H312" s="269">
        <v>0</v>
      </c>
      <c r="I312" s="579">
        <v>0</v>
      </c>
      <c r="J312" s="709">
        <f t="shared" si="25"/>
        <v>4477.58</v>
      </c>
      <c r="K312" s="1256">
        <v>0</v>
      </c>
      <c r="L312" s="715">
        <v>0</v>
      </c>
      <c r="M312" s="796">
        <f>SUM(J189)</f>
        <v>4477.58</v>
      </c>
      <c r="N312" s="801"/>
    </row>
    <row r="313" spans="1:15" s="17" customFormat="1" ht="15" hidden="1" customHeight="1">
      <c r="A313" s="472">
        <v>7</v>
      </c>
      <c r="B313" s="1437" t="s">
        <v>208</v>
      </c>
      <c r="C313" s="1438"/>
      <c r="D313" s="1438"/>
      <c r="E313" s="1438"/>
      <c r="F313" s="581"/>
      <c r="G313" s="268">
        <f>SUM(J195:J199)</f>
        <v>5231.8900000000003</v>
      </c>
      <c r="H313" s="269">
        <v>0</v>
      </c>
      <c r="I313" s="579">
        <v>0</v>
      </c>
      <c r="J313" s="709">
        <f t="shared" si="25"/>
        <v>5231.8900000000003</v>
      </c>
      <c r="K313" s="1256">
        <v>0</v>
      </c>
      <c r="L313" s="715">
        <v>0</v>
      </c>
      <c r="M313" s="796">
        <f>SUM(J194)</f>
        <v>5231.8900000000003</v>
      </c>
      <c r="N313" s="801"/>
    </row>
    <row r="314" spans="1:15" s="17" customFormat="1" ht="15" hidden="1" customHeight="1">
      <c r="A314" s="472">
        <v>8</v>
      </c>
      <c r="B314" s="1437" t="s">
        <v>116</v>
      </c>
      <c r="C314" s="1438"/>
      <c r="D314" s="1438"/>
      <c r="E314" s="1438"/>
      <c r="F314" s="581"/>
      <c r="G314" s="268">
        <f>O314*L288+N314</f>
        <v>4231.1224784242049</v>
      </c>
      <c r="H314" s="269">
        <f>ROUND(O314*$L$289,2)</f>
        <v>420.51</v>
      </c>
      <c r="I314" s="579">
        <f>O314*L290</f>
        <v>4261.4394121230589</v>
      </c>
      <c r="J314" s="709">
        <f t="shared" si="25"/>
        <v>8913.07</v>
      </c>
      <c r="K314" s="1256">
        <f>K201</f>
        <v>8532.52</v>
      </c>
      <c r="L314" s="715">
        <v>8532.52</v>
      </c>
      <c r="M314" s="796">
        <f>SUM(J201)</f>
        <v>8913.07</v>
      </c>
      <c r="N314" s="801">
        <f>SUM(M202:M207)</f>
        <v>1223.3699999999999</v>
      </c>
      <c r="O314" s="801">
        <f>M314-N314</f>
        <v>7689.7</v>
      </c>
    </row>
    <row r="315" spans="1:15" s="17" customFormat="1" ht="15" hidden="1" customHeight="1">
      <c r="A315" s="472">
        <v>9</v>
      </c>
      <c r="B315" s="1437" t="s">
        <v>209</v>
      </c>
      <c r="C315" s="1438"/>
      <c r="D315" s="1438"/>
      <c r="E315" s="1438"/>
      <c r="F315" s="581"/>
      <c r="G315" s="268">
        <f>O315*L288+N315</f>
        <v>7770.5871448986563</v>
      </c>
      <c r="H315" s="269">
        <f>ROUND(O315*$L$289,2)</f>
        <v>521.35</v>
      </c>
      <c r="I315" s="579">
        <f>O315*L290</f>
        <v>5283.3547168992245</v>
      </c>
      <c r="J315" s="709">
        <f t="shared" si="25"/>
        <v>13575.29</v>
      </c>
      <c r="K315" s="1256">
        <f>K219</f>
        <v>10292.629999999999</v>
      </c>
      <c r="L315" s="715">
        <v>10292.629999999999</v>
      </c>
      <c r="M315" s="796">
        <f>SUM(J219)</f>
        <v>13575.289999999999</v>
      </c>
      <c r="N315" s="801">
        <f>SUM(M220:M230)</f>
        <v>4041.5600000000004</v>
      </c>
      <c r="O315" s="801">
        <f>M315-N315</f>
        <v>9533.73</v>
      </c>
    </row>
    <row r="316" spans="1:15" s="17" customFormat="1" ht="15" hidden="1" customHeight="1">
      <c r="A316" s="472">
        <v>10</v>
      </c>
      <c r="B316" s="1437" t="s">
        <v>190</v>
      </c>
      <c r="C316" s="1438"/>
      <c r="D316" s="1438"/>
      <c r="E316" s="1438"/>
      <c r="F316" s="581"/>
      <c r="G316" s="268">
        <f t="shared" ref="G316" si="27">ROUND(M316*$L$288,2)</f>
        <v>1123.95</v>
      </c>
      <c r="H316" s="269">
        <f t="shared" ref="H316" si="28">ROUND(M316*$L$289,2)</f>
        <v>157.13999999999999</v>
      </c>
      <c r="I316" s="579">
        <f>M316*L290</f>
        <v>1592.4384558458685</v>
      </c>
      <c r="J316" s="709">
        <f t="shared" si="25"/>
        <v>2873.53</v>
      </c>
      <c r="K316" s="1256">
        <f>K241</f>
        <v>2873.53</v>
      </c>
      <c r="L316" s="715">
        <v>2873.53</v>
      </c>
      <c r="M316" s="796">
        <f>SUM(J241)</f>
        <v>2873.53</v>
      </c>
      <c r="N316" s="801"/>
    </row>
    <row r="317" spans="1:15" s="17" customFormat="1" ht="15" hidden="1" customHeight="1">
      <c r="A317" s="472">
        <v>11</v>
      </c>
      <c r="B317" s="1437" t="s">
        <v>195</v>
      </c>
      <c r="C317" s="1438"/>
      <c r="D317" s="1438"/>
      <c r="E317" s="1438"/>
      <c r="F317" s="581"/>
      <c r="G317" s="268">
        <f>ROUND(O317*$L$288,2)+N317</f>
        <v>11088.94</v>
      </c>
      <c r="H317" s="269">
        <f>ROUND(O317*$L$289,2)</f>
        <v>1113.6500000000001</v>
      </c>
      <c r="I317" s="579">
        <f>O317*L290</f>
        <v>11285.729314893057</v>
      </c>
      <c r="J317" s="709">
        <f t="shared" si="25"/>
        <v>23488.32</v>
      </c>
      <c r="K317" s="1256">
        <f>K245</f>
        <v>20364.93</v>
      </c>
      <c r="L317" s="715">
        <v>20364.93</v>
      </c>
      <c r="M317" s="796">
        <f>SUM(J245)-0.01</f>
        <v>23488.320000000003</v>
      </c>
      <c r="N317" s="801">
        <f>SUM(M250:M251)</f>
        <v>3123.4</v>
      </c>
      <c r="O317" s="801">
        <f>M317-N317</f>
        <v>20364.920000000002</v>
      </c>
    </row>
    <row r="318" spans="1:15" s="17" customFormat="1" ht="15" hidden="1" customHeight="1">
      <c r="A318" s="474"/>
      <c r="B318" s="939"/>
      <c r="C318" s="939"/>
      <c r="D318" s="939"/>
      <c r="E318" s="939"/>
      <c r="F318" s="939"/>
      <c r="G318" s="268"/>
      <c r="H318" s="269"/>
      <c r="I318" s="579"/>
      <c r="J318" s="709"/>
      <c r="K318" s="1256"/>
      <c r="L318" s="715"/>
      <c r="M318" s="789"/>
      <c r="N318" s="129"/>
    </row>
    <row r="319" spans="1:15" s="17" customFormat="1" ht="15" hidden="1" customHeight="1">
      <c r="A319" s="586" t="s">
        <v>464</v>
      </c>
      <c r="B319" s="587"/>
      <c r="C319" s="587"/>
      <c r="D319" s="587"/>
      <c r="E319" s="587"/>
      <c r="F319" s="587"/>
      <c r="G319" s="622"/>
      <c r="H319" s="623"/>
      <c r="I319" s="624"/>
      <c r="J319" s="710"/>
      <c r="K319" s="1257">
        <f>SUM(K320:K323)</f>
        <v>6838.72</v>
      </c>
      <c r="L319" s="715"/>
      <c r="M319" s="792"/>
    </row>
    <row r="320" spans="1:15" s="17" customFormat="1" ht="15" hidden="1" customHeight="1">
      <c r="A320" s="472">
        <v>1</v>
      </c>
      <c r="B320" s="1437" t="s">
        <v>91</v>
      </c>
      <c r="C320" s="1438"/>
      <c r="D320" s="1438"/>
      <c r="E320" s="1438"/>
      <c r="F320" s="581"/>
      <c r="G320" s="268">
        <f>(M320*L288)</f>
        <v>4037.073693126516</v>
      </c>
      <c r="H320" s="269">
        <f t="shared" ref="H320:H323" si="29">ROUND(M320*$L$289,2)</f>
        <v>564.41999999999996</v>
      </c>
      <c r="I320" s="579">
        <f t="shared" ref="I320:I323" si="30">ROUND(M320-H320-G320,2)</f>
        <v>5719.8</v>
      </c>
      <c r="J320" s="709">
        <f t="shared" si="25"/>
        <v>10321.290000000001</v>
      </c>
      <c r="K320" s="1256">
        <v>0</v>
      </c>
      <c r="L320" s="715">
        <v>0</v>
      </c>
      <c r="M320" s="797">
        <f>SUM(J260)</f>
        <v>10321.290000000001</v>
      </c>
    </row>
    <row r="321" spans="1:17" s="17" customFormat="1" ht="15" hidden="1" customHeight="1">
      <c r="A321" s="569">
        <v>2</v>
      </c>
      <c r="B321" s="1437" t="s">
        <v>351</v>
      </c>
      <c r="C321" s="1438"/>
      <c r="D321" s="1438"/>
      <c r="E321" s="1438"/>
      <c r="F321" s="581"/>
      <c r="G321" s="268">
        <f>(M321*L288)</f>
        <v>6994.9010084954562</v>
      </c>
      <c r="H321" s="269">
        <f t="shared" si="29"/>
        <v>977.94</v>
      </c>
      <c r="I321" s="579">
        <f t="shared" si="30"/>
        <v>9910.51</v>
      </c>
      <c r="J321" s="709">
        <f t="shared" si="25"/>
        <v>17883.349999999999</v>
      </c>
      <c r="K321" s="1256">
        <v>0</v>
      </c>
      <c r="L321" s="715">
        <v>0</v>
      </c>
      <c r="M321" s="797">
        <f>SUM(J267)</f>
        <v>17883.349999999999</v>
      </c>
    </row>
    <row r="322" spans="1:17" s="17" customFormat="1" ht="15" hidden="1" customHeight="1">
      <c r="A322" s="472">
        <v>3</v>
      </c>
      <c r="B322" s="1437" t="s">
        <v>208</v>
      </c>
      <c r="C322" s="1438"/>
      <c r="D322" s="1438"/>
      <c r="E322" s="1438"/>
      <c r="F322" s="581"/>
      <c r="G322" s="268">
        <f>(M322*L288)</f>
        <v>2480.5030166940651</v>
      </c>
      <c r="H322" s="269">
        <f t="shared" si="29"/>
        <v>346.79</v>
      </c>
      <c r="I322" s="579">
        <f t="shared" si="30"/>
        <v>3514.43</v>
      </c>
      <c r="J322" s="709">
        <f t="shared" si="25"/>
        <v>6341.72</v>
      </c>
      <c r="K322" s="1256">
        <v>0</v>
      </c>
      <c r="L322" s="715">
        <v>0</v>
      </c>
      <c r="M322" s="797">
        <f>SUM(J275)</f>
        <v>6341.72</v>
      </c>
      <c r="O322" s="275"/>
    </row>
    <row r="323" spans="1:17" s="17" customFormat="1" ht="15" hidden="1" customHeight="1">
      <c r="A323" s="472">
        <v>4</v>
      </c>
      <c r="B323" s="1437" t="s">
        <v>350</v>
      </c>
      <c r="C323" s="1438"/>
      <c r="D323" s="1438"/>
      <c r="E323" s="1438"/>
      <c r="F323" s="581"/>
      <c r="G323" s="268">
        <f>(M323*L288)</f>
        <v>2674.8998048362332</v>
      </c>
      <c r="H323" s="269">
        <f t="shared" si="29"/>
        <v>373.97</v>
      </c>
      <c r="I323" s="579">
        <f t="shared" si="30"/>
        <v>3789.85</v>
      </c>
      <c r="J323" s="709">
        <f t="shared" si="25"/>
        <v>6838.72</v>
      </c>
      <c r="K323" s="1256">
        <f>K280</f>
        <v>6838.72</v>
      </c>
      <c r="L323" s="715">
        <v>0</v>
      </c>
      <c r="M323" s="797">
        <f>SUM(J280)</f>
        <v>6838.72</v>
      </c>
    </row>
    <row r="324" spans="1:17" s="17" customFormat="1" ht="15" hidden="1" customHeight="1">
      <c r="A324" s="474"/>
      <c r="B324" s="939"/>
      <c r="C324" s="939"/>
      <c r="D324" s="939"/>
      <c r="E324" s="939"/>
      <c r="F324" s="939"/>
      <c r="G324" s="943"/>
      <c r="H324" s="273"/>
      <c r="I324" s="273"/>
      <c r="J324" s="711"/>
      <c r="K324" s="1258"/>
      <c r="L324" s="715"/>
      <c r="M324" s="789"/>
      <c r="N324" s="129"/>
      <c r="O324" s="129"/>
    </row>
    <row r="325" spans="1:17" s="17" customFormat="1" ht="15" hidden="1" customHeight="1">
      <c r="A325" s="1630" t="s">
        <v>21</v>
      </c>
      <c r="B325" s="1631"/>
      <c r="C325" s="1631"/>
      <c r="D325" s="1631"/>
      <c r="E325" s="1631"/>
      <c r="F325" s="1631"/>
      <c r="G325" s="600">
        <f>SUM(G299:G324)</f>
        <v>246717.06589666323</v>
      </c>
      <c r="H325" s="599">
        <f>SUM(H299:H324)</f>
        <v>9113.0700000000015</v>
      </c>
      <c r="I325" s="599">
        <f>SUM(I299:I323)</f>
        <v>92352.125269486743</v>
      </c>
      <c r="J325" s="712">
        <f>SUM(G325:I325)</f>
        <v>348182.26116614998</v>
      </c>
      <c r="K325" s="1259">
        <f>K298+K306+K319</f>
        <v>136114.08242523033</v>
      </c>
      <c r="L325" s="716"/>
      <c r="M325" s="796">
        <f>SUM(M299:M323)</f>
        <v>348183.71242523025</v>
      </c>
      <c r="N325" s="16"/>
      <c r="O325" s="129"/>
      <c r="P325" s="16"/>
      <c r="Q325" s="16"/>
    </row>
    <row r="326" spans="1:17" s="16" customFormat="1" ht="17.45" hidden="1" customHeight="1">
      <c r="A326" s="1632" t="s">
        <v>30</v>
      </c>
      <c r="B326" s="1633"/>
      <c r="C326" s="1633"/>
      <c r="D326" s="1633"/>
      <c r="E326" s="1633"/>
      <c r="F326" s="1633"/>
      <c r="G326" s="601">
        <f>G325/J325</f>
        <v>0.70858597181357175</v>
      </c>
      <c r="H326" s="601">
        <f>H325/J325</f>
        <v>2.617327479429319E-2</v>
      </c>
      <c r="I326" s="601">
        <f>I325/J325</f>
        <v>0.26524075339213504</v>
      </c>
      <c r="J326" s="713">
        <f>SUM(G326:I326)</f>
        <v>1</v>
      </c>
      <c r="K326" s="1173"/>
      <c r="L326" s="717"/>
      <c r="M326" s="789"/>
      <c r="N326" s="17"/>
    </row>
    <row r="327" spans="1:17" s="16" customFormat="1" ht="15" hidden="1" customHeight="1">
      <c r="A327" s="476"/>
      <c r="B327" s="280"/>
      <c r="C327" s="280"/>
      <c r="D327" s="280"/>
      <c r="E327" s="280"/>
      <c r="F327" s="280"/>
      <c r="G327" s="871"/>
      <c r="H327" s="872"/>
      <c r="I327" s="872"/>
      <c r="J327" s="871"/>
      <c r="K327" s="1174"/>
      <c r="L327" s="717"/>
      <c r="M327" s="789"/>
      <c r="N327" s="129"/>
      <c r="O327" s="171"/>
    </row>
    <row r="328" spans="1:17" s="17" customFormat="1" ht="19.149999999999999" hidden="1" customHeight="1">
      <c r="A328" s="1628" t="s">
        <v>31</v>
      </c>
      <c r="B328" s="1629"/>
      <c r="C328" s="1629"/>
      <c r="D328" s="1629"/>
      <c r="E328" s="1629"/>
      <c r="F328" s="1629"/>
      <c r="G328" s="1629"/>
      <c r="H328" s="1629"/>
      <c r="I328" s="1629"/>
      <c r="J328" s="1629"/>
      <c r="K328" s="1175"/>
      <c r="L328" s="681"/>
      <c r="M328" s="789"/>
      <c r="O328" s="171"/>
    </row>
    <row r="329" spans="1:17" s="17" customFormat="1" ht="16.899999999999999" hidden="1" customHeight="1">
      <c r="A329" s="1381" t="s">
        <v>32</v>
      </c>
      <c r="B329" s="1326"/>
      <c r="C329" s="1326"/>
      <c r="D329" s="1326"/>
      <c r="E329" s="1326"/>
      <c r="F329" s="1294" t="s">
        <v>211</v>
      </c>
      <c r="G329" s="1294"/>
      <c r="H329" s="1294"/>
      <c r="I329" s="1294"/>
      <c r="J329" s="1289"/>
      <c r="K329" s="1172"/>
      <c r="L329" s="714"/>
      <c r="M329" s="789"/>
    </row>
    <row r="330" spans="1:17" s="17" customFormat="1" ht="16.149999999999999" hidden="1" customHeight="1">
      <c r="A330" s="1548" t="s">
        <v>545</v>
      </c>
      <c r="B330" s="1550"/>
      <c r="C330" s="1550"/>
      <c r="D330" s="1550"/>
      <c r="E330" s="1550"/>
      <c r="F330" s="1620">
        <v>232000</v>
      </c>
      <c r="G330" s="1550"/>
      <c r="H330" s="1550"/>
      <c r="I330" s="1550"/>
      <c r="J330" s="1316"/>
      <c r="K330" s="1176"/>
      <c r="L330" s="684"/>
      <c r="M330" s="789"/>
    </row>
    <row r="331" spans="1:17" s="17" customFormat="1" ht="16.149999999999999" hidden="1" customHeight="1">
      <c r="A331" s="1526" t="s">
        <v>539</v>
      </c>
      <c r="B331" s="1317"/>
      <c r="C331" s="1317"/>
      <c r="D331" s="1317"/>
      <c r="E331" s="1318"/>
      <c r="F331" s="1625">
        <f>J286</f>
        <v>129023.61</v>
      </c>
      <c r="G331" s="1626"/>
      <c r="H331" s="1626"/>
      <c r="I331" s="1626"/>
      <c r="J331" s="1627"/>
      <c r="K331" s="1177"/>
      <c r="L331" s="684"/>
      <c r="M331" s="789"/>
      <c r="N331" s="129"/>
    </row>
    <row r="332" spans="1:17" s="17" customFormat="1" ht="16.149999999999999" hidden="1" customHeight="1">
      <c r="A332" s="1526" t="s">
        <v>540</v>
      </c>
      <c r="B332" s="1317"/>
      <c r="C332" s="1317"/>
      <c r="D332" s="1317"/>
      <c r="E332" s="1318"/>
      <c r="F332" s="1625">
        <f>I288</f>
        <v>50465.58</v>
      </c>
      <c r="G332" s="1626"/>
      <c r="H332" s="1626"/>
      <c r="I332" s="1626"/>
      <c r="J332" s="1627"/>
      <c r="K332" s="1177"/>
      <c r="L332" s="684"/>
      <c r="M332" s="789"/>
    </row>
    <row r="333" spans="1:17" s="17" customFormat="1" ht="16.149999999999999" hidden="1" customHeight="1">
      <c r="A333" s="1548" t="s">
        <v>25</v>
      </c>
      <c r="B333" s="1550"/>
      <c r="C333" s="1550"/>
      <c r="D333" s="1550"/>
      <c r="E333" s="1550"/>
      <c r="F333" s="1620">
        <f>SUM(J289)</f>
        <v>7055.51</v>
      </c>
      <c r="G333" s="1550"/>
      <c r="H333" s="1550"/>
      <c r="I333" s="1550"/>
      <c r="J333" s="1316"/>
      <c r="K333" s="1176"/>
      <c r="L333" s="684"/>
      <c r="M333" s="789"/>
    </row>
    <row r="334" spans="1:17" s="17" customFormat="1" ht="16.149999999999999" hidden="1" customHeight="1">
      <c r="A334" s="1526" t="s">
        <v>514</v>
      </c>
      <c r="B334" s="1317"/>
      <c r="C334" s="1317"/>
      <c r="D334" s="1317"/>
      <c r="E334" s="1318"/>
      <c r="F334" s="1625">
        <f>SUM(J290)</f>
        <v>71502.52</v>
      </c>
      <c r="G334" s="1626"/>
      <c r="H334" s="1626"/>
      <c r="I334" s="1626"/>
      <c r="J334" s="1626"/>
      <c r="K334" s="1178"/>
      <c r="L334" s="684"/>
      <c r="M334" s="789"/>
    </row>
    <row r="335" spans="1:17" s="17" customFormat="1" ht="16.149999999999999" hidden="1" customHeight="1">
      <c r="A335" s="1548" t="s">
        <v>212</v>
      </c>
      <c r="B335" s="1550"/>
      <c r="C335" s="1550"/>
      <c r="D335" s="1550"/>
      <c r="E335" s="1550"/>
      <c r="F335" s="1620">
        <f>F332+F333+F334</f>
        <v>129023.61000000002</v>
      </c>
      <c r="G335" s="1550"/>
      <c r="H335" s="1550"/>
      <c r="I335" s="1550"/>
      <c r="J335" s="1316"/>
      <c r="K335" s="1176"/>
      <c r="L335" s="684"/>
      <c r="M335" s="789"/>
      <c r="N335" s="16"/>
      <c r="P335" s="16"/>
      <c r="Q335" s="16"/>
    </row>
    <row r="336" spans="1:17" s="266" customFormat="1" ht="15" hidden="1" customHeight="1">
      <c r="A336" s="481"/>
      <c r="B336" s="261"/>
      <c r="C336" s="261"/>
      <c r="D336" s="261"/>
      <c r="E336" s="261"/>
      <c r="F336" s="480"/>
      <c r="G336" s="261"/>
      <c r="H336" s="261"/>
      <c r="I336" s="480"/>
      <c r="J336" s="261"/>
      <c r="K336" s="1179"/>
      <c r="L336" s="684"/>
      <c r="M336" s="792"/>
      <c r="N336" s="154"/>
      <c r="P336" s="154"/>
      <c r="Q336" s="154"/>
    </row>
    <row r="337" spans="1:17" s="17" customFormat="1" ht="22.15" hidden="1" customHeight="1" thickBot="1">
      <c r="A337" s="1621" t="s">
        <v>403</v>
      </c>
      <c r="B337" s="1535"/>
      <c r="C337" s="1535"/>
      <c r="D337" s="1535"/>
      <c r="E337" s="1535"/>
      <c r="F337" s="1535"/>
      <c r="G337" s="1535"/>
      <c r="H337" s="1535"/>
      <c r="I337" s="1535"/>
      <c r="J337" s="1535"/>
      <c r="K337" s="1180"/>
      <c r="L337" s="684"/>
      <c r="M337" s="789"/>
    </row>
    <row r="338" spans="1:17" s="17" customFormat="1" ht="15" hidden="1" customHeight="1" thickTop="1">
      <c r="A338" s="598"/>
      <c r="B338" s="598"/>
      <c r="C338" s="598"/>
      <c r="D338" s="598"/>
      <c r="E338" s="598"/>
      <c r="F338" s="598"/>
      <c r="G338" s="598"/>
      <c r="H338" s="598"/>
      <c r="I338" s="655"/>
      <c r="J338" s="598"/>
      <c r="K338" s="1181"/>
      <c r="L338" s="585"/>
      <c r="M338" s="789"/>
    </row>
    <row r="339" spans="1:17" s="17" customFormat="1" ht="15" hidden="1" customHeight="1">
      <c r="A339" s="307"/>
      <c r="B339" s="307"/>
      <c r="C339" s="307"/>
      <c r="D339" s="307"/>
      <c r="E339" s="307"/>
      <c r="F339" s="307"/>
      <c r="G339" s="307"/>
      <c r="H339" s="307"/>
      <c r="I339" s="656"/>
      <c r="J339" s="307"/>
      <c r="K339" s="1182"/>
      <c r="L339" s="585"/>
      <c r="M339" s="789"/>
    </row>
    <row r="340" spans="1:17" s="17" customFormat="1" ht="13.9" hidden="1" customHeight="1">
      <c r="A340" s="286"/>
      <c r="B340" s="286"/>
      <c r="C340" s="286"/>
      <c r="D340" s="286"/>
      <c r="E340" s="286"/>
      <c r="F340" s="286"/>
      <c r="G340" s="175"/>
      <c r="H340" s="175"/>
      <c r="I340" s="628"/>
      <c r="J340" s="286"/>
      <c r="K340" s="1170"/>
      <c r="L340" s="605"/>
      <c r="M340" s="789"/>
    </row>
    <row r="341" spans="1:17" s="16" customFormat="1" ht="15" hidden="1" customHeight="1" thickBot="1">
      <c r="A341" s="401"/>
      <c r="B341" s="286"/>
      <c r="C341" s="286"/>
      <c r="D341" s="286"/>
      <c r="E341" s="286"/>
      <c r="F341" s="286"/>
      <c r="G341" s="175"/>
      <c r="H341" s="175"/>
      <c r="I341" s="628"/>
      <c r="J341" s="286"/>
      <c r="K341" s="1170"/>
      <c r="L341" s="605"/>
      <c r="M341" s="789"/>
    </row>
    <row r="342" spans="1:17" s="16" customFormat="1" ht="15" hidden="1" customHeight="1" thickTop="1">
      <c r="A342" s="1622" t="s">
        <v>33</v>
      </c>
      <c r="B342" s="1623"/>
      <c r="C342" s="1623"/>
      <c r="D342" s="1623"/>
      <c r="E342" s="1623"/>
      <c r="F342" s="1623"/>
      <c r="G342" s="1623"/>
      <c r="H342" s="1623"/>
      <c r="I342" s="1623"/>
      <c r="J342" s="1624"/>
      <c r="K342" s="1183"/>
      <c r="L342" s="585"/>
      <c r="M342" s="798"/>
    </row>
    <row r="343" spans="1:17" s="16" customFormat="1" ht="77.45" hidden="1" customHeight="1">
      <c r="A343" s="1424" t="s">
        <v>679</v>
      </c>
      <c r="B343" s="1425"/>
      <c r="C343" s="1425"/>
      <c r="D343" s="1425"/>
      <c r="E343" s="1425"/>
      <c r="F343" s="1425"/>
      <c r="G343" s="1425"/>
      <c r="H343" s="1425"/>
      <c r="I343" s="1425"/>
      <c r="J343" s="1426"/>
      <c r="K343" s="1119"/>
      <c r="L343" s="501"/>
      <c r="M343" s="789"/>
    </row>
    <row r="344" spans="1:17" s="16" customFormat="1" ht="15" hidden="1" customHeight="1">
      <c r="A344" s="350"/>
      <c r="B344" s="286"/>
      <c r="C344" s="286"/>
      <c r="D344" s="286"/>
      <c r="E344" s="286"/>
      <c r="F344" s="286"/>
      <c r="G344" s="175"/>
      <c r="H344" s="175"/>
      <c r="I344" s="628"/>
      <c r="J344" s="351"/>
      <c r="K344" s="1184"/>
      <c r="L344" s="605"/>
      <c r="M344" s="789"/>
    </row>
    <row r="345" spans="1:17" s="16" customFormat="1" ht="25.15" hidden="1" customHeight="1">
      <c r="A345" s="1548" t="s">
        <v>34</v>
      </c>
      <c r="B345" s="1550"/>
      <c r="C345" s="1550"/>
      <c r="D345" s="1550"/>
      <c r="E345" s="1550"/>
      <c r="F345" s="1550"/>
      <c r="G345" s="1550"/>
      <c r="H345" s="1550"/>
      <c r="I345" s="1550"/>
      <c r="J345" s="1619"/>
      <c r="K345" s="1183"/>
      <c r="L345" s="585"/>
      <c r="M345" s="789"/>
    </row>
    <row r="346" spans="1:17" s="16" customFormat="1" ht="15" hidden="1" customHeight="1">
      <c r="A346" s="1528" t="s">
        <v>377</v>
      </c>
      <c r="B346" s="1294"/>
      <c r="C346" s="1294"/>
      <c r="D346" s="1294"/>
      <c r="E346" s="1294"/>
      <c r="F346" s="1294"/>
      <c r="G346" s="1294"/>
      <c r="H346" s="1294"/>
      <c r="I346" s="1294"/>
      <c r="J346" s="1433"/>
      <c r="K346" s="1119"/>
      <c r="L346" s="501"/>
      <c r="M346" s="789"/>
      <c r="N346" s="17"/>
      <c r="P346" s="17"/>
      <c r="Q346" s="17"/>
    </row>
    <row r="347" spans="1:17" s="17" customFormat="1" ht="86.45" hidden="1" customHeight="1">
      <c r="A347" s="1412" t="s">
        <v>466</v>
      </c>
      <c r="B347" s="1413"/>
      <c r="C347" s="1413"/>
      <c r="D347" s="1413"/>
      <c r="E347" s="1413"/>
      <c r="F347" s="1413"/>
      <c r="G347" s="1413"/>
      <c r="H347" s="1413"/>
      <c r="I347" s="1413"/>
      <c r="J347" s="1414"/>
      <c r="K347" s="1185"/>
      <c r="L347" s="502"/>
      <c r="M347" s="789"/>
      <c r="N347" s="16"/>
      <c r="P347" s="16"/>
      <c r="Q347" s="16"/>
    </row>
    <row r="348" spans="1:17" s="16" customFormat="1" ht="15.6" customHeight="1" thickBot="1">
      <c r="A348" s="350"/>
      <c r="B348" s="286"/>
      <c r="C348" s="286"/>
      <c r="D348" s="286"/>
      <c r="E348" s="286"/>
      <c r="F348" s="286"/>
      <c r="G348" s="175"/>
      <c r="H348" s="175"/>
      <c r="I348" s="628"/>
      <c r="J348" s="286"/>
      <c r="K348" s="1170"/>
      <c r="L348" s="605"/>
      <c r="M348" s="789"/>
    </row>
    <row r="349" spans="1:17" s="16" customFormat="1" ht="15" customHeight="1">
      <c r="A349" s="1720" t="s">
        <v>35</v>
      </c>
      <c r="B349" s="1721"/>
      <c r="C349" s="1721"/>
      <c r="D349" s="1721"/>
      <c r="E349" s="1721"/>
      <c r="F349" s="1721"/>
      <c r="G349" s="1721"/>
      <c r="H349" s="1721"/>
      <c r="I349" s="1721"/>
      <c r="J349" s="1722"/>
      <c r="K349" s="1274"/>
      <c r="L349" s="585"/>
      <c r="M349" s="789"/>
    </row>
    <row r="350" spans="1:17" s="16" customFormat="1" ht="15" customHeight="1">
      <c r="A350" s="1723" t="s">
        <v>703</v>
      </c>
      <c r="B350" s="1308"/>
      <c r="C350" s="1308"/>
      <c r="D350" s="1308"/>
      <c r="E350" s="1308"/>
      <c r="F350" s="1308"/>
      <c r="G350" s="1308"/>
      <c r="H350" s="1308"/>
      <c r="I350" s="1308"/>
      <c r="J350" s="1308"/>
      <c r="K350" s="1275"/>
      <c r="L350" s="501"/>
      <c r="M350" s="789"/>
    </row>
    <row r="351" spans="1:17" s="16" customFormat="1" ht="15" customHeight="1">
      <c r="A351" s="1276"/>
      <c r="B351" s="1101"/>
      <c r="C351" s="1101"/>
      <c r="D351" s="1101"/>
      <c r="E351" s="1101"/>
      <c r="F351" s="1101"/>
      <c r="G351" s="290"/>
      <c r="H351" s="290"/>
      <c r="I351" s="633"/>
      <c r="J351" s="1101"/>
      <c r="K351" s="1275"/>
      <c r="L351" s="501"/>
      <c r="M351" s="789"/>
    </row>
    <row r="352" spans="1:17" s="16" customFormat="1" ht="15" customHeight="1">
      <c r="A352" s="1276"/>
      <c r="B352" s="1101"/>
      <c r="C352" s="1101"/>
      <c r="D352" s="1101"/>
      <c r="E352" s="1101"/>
      <c r="F352" s="1101"/>
      <c r="G352" s="290"/>
      <c r="H352" s="290"/>
      <c r="I352" s="633"/>
      <c r="J352" s="1101"/>
      <c r="K352" s="1275"/>
      <c r="L352" s="501"/>
      <c r="M352" s="789"/>
    </row>
    <row r="353" spans="1:17" s="16" customFormat="1" ht="15" customHeight="1">
      <c r="A353" s="1276"/>
      <c r="B353" s="1101"/>
      <c r="C353" s="1101"/>
      <c r="D353" s="1101"/>
      <c r="E353" s="1101"/>
      <c r="F353" s="1101"/>
      <c r="G353" s="290"/>
      <c r="H353" s="290"/>
      <c r="I353" s="633"/>
      <c r="J353" s="1101"/>
      <c r="K353" s="1275"/>
      <c r="L353" s="501"/>
      <c r="M353" s="789"/>
    </row>
    <row r="354" spans="1:17" s="16" customFormat="1" ht="15" customHeight="1">
      <c r="A354" s="1276"/>
      <c r="B354" s="1101"/>
      <c r="C354" s="1101"/>
      <c r="D354" s="1101"/>
      <c r="E354" s="1101"/>
      <c r="F354" s="1101"/>
      <c r="G354" s="290"/>
      <c r="H354" s="290"/>
      <c r="I354" s="633"/>
      <c r="J354" s="1101"/>
      <c r="K354" s="1275"/>
      <c r="L354" s="501"/>
      <c r="M354" s="789"/>
    </row>
    <row r="355" spans="1:17" s="16" customFormat="1" ht="15" customHeight="1">
      <c r="A355" s="1276"/>
      <c r="B355" s="1101"/>
      <c r="C355" s="1101"/>
      <c r="D355" s="1101"/>
      <c r="E355" s="1101"/>
      <c r="F355" s="1101"/>
      <c r="G355" s="290"/>
      <c r="H355" s="290"/>
      <c r="I355" s="633"/>
      <c r="J355" s="1101"/>
      <c r="K355" s="1275"/>
      <c r="L355" s="501"/>
      <c r="M355" s="789"/>
    </row>
    <row r="356" spans="1:17" s="16" customFormat="1" ht="15" customHeight="1">
      <c r="A356" s="1276"/>
      <c r="B356" s="1101"/>
      <c r="C356" s="1101"/>
      <c r="D356" s="1101"/>
      <c r="E356" s="1101"/>
      <c r="F356" s="1101"/>
      <c r="G356" s="290"/>
      <c r="H356" s="290"/>
      <c r="I356" s="633"/>
      <c r="J356" s="1101"/>
      <c r="K356" s="1275"/>
      <c r="L356" s="501"/>
      <c r="M356" s="789"/>
    </row>
    <row r="357" spans="1:17" s="16" customFormat="1" ht="15" customHeight="1">
      <c r="A357" s="1276"/>
      <c r="B357" s="1101"/>
      <c r="C357" s="1101"/>
      <c r="D357" s="1101"/>
      <c r="E357" s="1101"/>
      <c r="F357" s="1101"/>
      <c r="G357" s="290"/>
      <c r="H357" s="290"/>
      <c r="I357" s="633"/>
      <c r="J357" s="1101"/>
      <c r="K357" s="1275"/>
      <c r="L357" s="501"/>
      <c r="M357" s="799"/>
      <c r="N357" s="108"/>
      <c r="P357" s="108"/>
      <c r="Q357" s="108"/>
    </row>
    <row r="358" spans="1:17" s="108" customFormat="1" ht="15" customHeight="1">
      <c r="A358" s="1719" t="s">
        <v>379</v>
      </c>
      <c r="B358" s="1298"/>
      <c r="C358" s="1298"/>
      <c r="D358" s="1298"/>
      <c r="E358" s="1298"/>
      <c r="F358" s="1299" t="s">
        <v>296</v>
      </c>
      <c r="G358" s="1299"/>
      <c r="H358" s="1299"/>
      <c r="I358" s="1299"/>
      <c r="J358" s="1299"/>
      <c r="K358" s="1277"/>
      <c r="L358" s="617"/>
      <c r="M358" s="799"/>
    </row>
    <row r="359" spans="1:17" s="108" customFormat="1" ht="15" customHeight="1">
      <c r="A359" s="1719" t="s">
        <v>677</v>
      </c>
      <c r="B359" s="1298"/>
      <c r="C359" s="1298"/>
      <c r="D359" s="1298"/>
      <c r="E359" s="1298"/>
      <c r="F359" s="1299" t="s">
        <v>536</v>
      </c>
      <c r="G359" s="1299"/>
      <c r="H359" s="1299"/>
      <c r="I359" s="1299"/>
      <c r="J359" s="1299"/>
      <c r="K359" s="1277"/>
      <c r="L359" s="617"/>
      <c r="M359" s="799"/>
    </row>
    <row r="360" spans="1:17" s="108" customFormat="1" ht="15" customHeight="1">
      <c r="A360" s="1719" t="s">
        <v>678</v>
      </c>
      <c r="B360" s="1298"/>
      <c r="C360" s="1298"/>
      <c r="D360" s="1298"/>
      <c r="E360" s="1298"/>
      <c r="F360" s="1299" t="s">
        <v>537</v>
      </c>
      <c r="G360" s="1299"/>
      <c r="H360" s="1299"/>
      <c r="I360" s="1299"/>
      <c r="J360" s="1299"/>
      <c r="K360" s="1277"/>
      <c r="L360" s="617"/>
      <c r="M360" s="789"/>
      <c r="N360" s="16"/>
      <c r="P360" s="16"/>
      <c r="Q360" s="16"/>
    </row>
    <row r="361" spans="1:17" s="16" customFormat="1" ht="15" customHeight="1">
      <c r="A361" s="1278"/>
      <c r="B361" s="305"/>
      <c r="C361" s="305"/>
      <c r="D361" s="305"/>
      <c r="E361" s="305"/>
      <c r="F361" s="306"/>
      <c r="G361" s="38"/>
      <c r="H361" s="38"/>
      <c r="I361" s="657"/>
      <c r="J361" s="306"/>
      <c r="K361" s="1279"/>
      <c r="L361" s="618"/>
      <c r="M361" s="789"/>
    </row>
    <row r="362" spans="1:17" s="16" customFormat="1" ht="15" customHeight="1">
      <c r="A362" s="1280"/>
      <c r="B362" s="307"/>
      <c r="C362" s="307"/>
      <c r="D362" s="307"/>
      <c r="E362" s="307"/>
      <c r="F362" s="1102"/>
      <c r="G362" s="175"/>
      <c r="H362" s="175"/>
      <c r="I362" s="628"/>
      <c r="J362" s="1102"/>
      <c r="K362" s="1279"/>
      <c r="L362" s="503"/>
      <c r="M362" s="789"/>
    </row>
    <row r="363" spans="1:17" s="16" customFormat="1" ht="15" customHeight="1">
      <c r="A363" s="1280"/>
      <c r="B363" s="307"/>
      <c r="C363" s="307"/>
      <c r="D363" s="307"/>
      <c r="E363" s="307"/>
      <c r="F363" s="1102"/>
      <c r="G363" s="175"/>
      <c r="H363" s="175"/>
      <c r="I363" s="628"/>
      <c r="J363" s="1102"/>
      <c r="K363" s="1279"/>
      <c r="L363" s="503"/>
      <c r="M363" s="789"/>
    </row>
    <row r="364" spans="1:17" s="16" customFormat="1" ht="15" customHeight="1" thickBot="1">
      <c r="A364" s="1281"/>
      <c r="B364" s="1282"/>
      <c r="C364" s="1282"/>
      <c r="D364" s="1282"/>
      <c r="E364" s="1282"/>
      <c r="F364" s="1283"/>
      <c r="G364" s="1284"/>
      <c r="H364" s="1284"/>
      <c r="I364" s="1285"/>
      <c r="J364" s="1283"/>
      <c r="K364" s="1286"/>
      <c r="L364" s="503"/>
      <c r="M364" s="786"/>
      <c r="N364"/>
      <c r="P364"/>
      <c r="Q364"/>
    </row>
    <row r="365" spans="1:17">
      <c r="A365" s="308"/>
      <c r="B365" s="308"/>
      <c r="C365" s="308"/>
      <c r="D365" s="308"/>
      <c r="E365" s="308"/>
      <c r="F365" s="308"/>
      <c r="G365" s="251"/>
      <c r="H365" s="251"/>
      <c r="I365" s="658"/>
      <c r="J365" s="308"/>
      <c r="L365" s="619"/>
    </row>
    <row r="366" spans="1:17">
      <c r="A366" s="308"/>
      <c r="B366" s="308"/>
      <c r="C366" s="308"/>
      <c r="D366" s="308"/>
      <c r="E366" s="308"/>
      <c r="F366" s="308"/>
      <c r="G366" s="251"/>
      <c r="H366" s="251"/>
      <c r="I366" s="658"/>
      <c r="J366" s="308"/>
      <c r="L366" s="619"/>
    </row>
    <row r="367" spans="1:17">
      <c r="A367" s="308"/>
      <c r="B367" s="308"/>
      <c r="C367" s="308"/>
      <c r="D367" s="308"/>
      <c r="E367" s="308"/>
      <c r="F367" s="308"/>
      <c r="G367" s="251"/>
      <c r="H367" s="251"/>
      <c r="I367" s="658"/>
      <c r="J367" s="308"/>
      <c r="L367" s="619"/>
    </row>
    <row r="368" spans="1:17">
      <c r="A368" s="308"/>
      <c r="B368" s="308"/>
      <c r="C368" s="308"/>
      <c r="D368" s="308"/>
      <c r="E368" s="308"/>
      <c r="F368" s="308"/>
      <c r="G368" s="251"/>
      <c r="H368" s="251"/>
      <c r="I368" s="658"/>
      <c r="J368" s="308"/>
      <c r="L368" s="619"/>
    </row>
    <row r="369" spans="1:26">
      <c r="A369" s="308"/>
      <c r="B369" s="308"/>
      <c r="C369" s="308"/>
      <c r="D369" s="308"/>
      <c r="E369" s="308"/>
      <c r="F369" s="308"/>
      <c r="G369" s="251"/>
      <c r="H369" s="251"/>
      <c r="I369" s="658"/>
      <c r="J369" s="308"/>
      <c r="L369" s="619"/>
    </row>
    <row r="370" spans="1:26">
      <c r="A370" s="308"/>
      <c r="B370" s="308"/>
      <c r="C370" s="308"/>
      <c r="D370" s="308"/>
      <c r="E370" s="308"/>
      <c r="F370" s="308"/>
      <c r="G370" s="251"/>
      <c r="H370" s="251"/>
      <c r="I370" s="658"/>
      <c r="J370" s="308"/>
      <c r="L370" s="619"/>
    </row>
    <row r="371" spans="1:26">
      <c r="A371" s="308"/>
      <c r="B371" s="308"/>
      <c r="C371" s="308"/>
      <c r="D371" s="308"/>
      <c r="E371" s="308"/>
      <c r="F371" s="308"/>
      <c r="G371" s="251"/>
      <c r="H371" s="251"/>
      <c r="I371" s="658"/>
      <c r="J371" s="308"/>
      <c r="L371" s="619"/>
    </row>
    <row r="372" spans="1:26">
      <c r="A372" s="308"/>
      <c r="B372" s="308"/>
      <c r="C372" s="308"/>
      <c r="D372" s="308"/>
      <c r="E372" s="308"/>
      <c r="F372" s="308"/>
      <c r="G372" s="251"/>
      <c r="H372" s="251"/>
      <c r="I372" s="658"/>
      <c r="J372" s="308"/>
      <c r="L372" s="619"/>
    </row>
    <row r="373" spans="1:26">
      <c r="A373" s="308"/>
      <c r="B373" s="308"/>
      <c r="C373" s="308"/>
      <c r="D373" s="308"/>
      <c r="E373" s="308"/>
      <c r="F373" s="308"/>
      <c r="G373" s="251"/>
      <c r="H373" s="251"/>
      <c r="I373" s="658"/>
      <c r="J373" s="308"/>
      <c r="L373" s="619"/>
    </row>
    <row r="374" spans="1:26">
      <c r="A374" s="308"/>
      <c r="B374" s="308"/>
      <c r="C374" s="308"/>
      <c r="D374" s="308"/>
      <c r="E374" s="308"/>
      <c r="F374" s="308"/>
      <c r="G374" s="251"/>
      <c r="H374" s="251"/>
      <c r="I374" s="658"/>
      <c r="J374" s="308"/>
      <c r="L374" s="619"/>
    </row>
    <row r="375" spans="1:26">
      <c r="A375" s="308"/>
      <c r="B375" s="308"/>
      <c r="C375" s="308"/>
      <c r="D375" s="308"/>
      <c r="E375" s="308"/>
      <c r="F375" s="308"/>
      <c r="G375" s="251"/>
      <c r="H375" s="251"/>
      <c r="I375" s="658"/>
      <c r="J375" s="308"/>
      <c r="L375" s="619"/>
    </row>
    <row r="376" spans="1:26">
      <c r="A376" s="308"/>
      <c r="B376" s="308"/>
      <c r="C376" s="308"/>
      <c r="D376" s="308"/>
      <c r="E376" s="308"/>
      <c r="F376" s="308"/>
      <c r="G376" s="251"/>
      <c r="H376" s="251"/>
      <c r="I376" s="658"/>
      <c r="J376" s="308"/>
      <c r="L376" s="619"/>
    </row>
    <row r="377" spans="1:26">
      <c r="A377" s="308"/>
      <c r="B377" s="308"/>
      <c r="C377" s="308"/>
      <c r="D377" s="308"/>
      <c r="E377" s="308"/>
      <c r="F377" s="308"/>
      <c r="G377" s="251"/>
      <c r="H377" s="251"/>
      <c r="I377" s="658"/>
      <c r="J377" s="308"/>
      <c r="L377" s="619"/>
    </row>
    <row r="378" spans="1:26" s="786" customFormat="1">
      <c r="A378" s="308"/>
      <c r="B378" s="308"/>
      <c r="C378" s="308"/>
      <c r="D378" s="308"/>
      <c r="E378" s="308"/>
      <c r="F378" s="308"/>
      <c r="G378" s="251"/>
      <c r="H378" s="251"/>
      <c r="I378" s="658"/>
      <c r="J378" s="308"/>
      <c r="K378" s="1104"/>
      <c r="L378" s="619"/>
      <c r="N378"/>
      <c r="O378"/>
      <c r="P378"/>
      <c r="Q378"/>
      <c r="R378"/>
      <c r="S378"/>
      <c r="T378"/>
      <c r="U378"/>
      <c r="V378"/>
      <c r="W378"/>
      <c r="X378"/>
      <c r="Y378"/>
      <c r="Z378"/>
    </row>
    <row r="379" spans="1:26" s="786" customFormat="1">
      <c r="A379" s="308"/>
      <c r="B379" s="308"/>
      <c r="C379" s="308"/>
      <c r="D379" s="308"/>
      <c r="E379" s="308"/>
      <c r="F379" s="308"/>
      <c r="G379" s="251"/>
      <c r="H379" s="251"/>
      <c r="I379" s="658"/>
      <c r="J379" s="308"/>
      <c r="K379" s="1104"/>
      <c r="L379" s="619"/>
      <c r="N379"/>
      <c r="O379"/>
      <c r="P379"/>
      <c r="Q379"/>
      <c r="R379"/>
      <c r="S379"/>
      <c r="T379"/>
      <c r="U379"/>
      <c r="V379"/>
      <c r="W379"/>
      <c r="X379"/>
      <c r="Y379"/>
      <c r="Z379"/>
    </row>
    <row r="380" spans="1:26" s="786" customFormat="1">
      <c r="A380" s="308"/>
      <c r="B380" s="308"/>
      <c r="C380" s="308"/>
      <c r="D380" s="308"/>
      <c r="E380" s="308"/>
      <c r="F380" s="308"/>
      <c r="G380" s="251"/>
      <c r="H380" s="251"/>
      <c r="I380" s="658"/>
      <c r="J380" s="308"/>
      <c r="K380" s="1104"/>
      <c r="L380" s="619"/>
      <c r="N380"/>
      <c r="O380"/>
      <c r="P380"/>
      <c r="Q380"/>
      <c r="R380"/>
      <c r="S380"/>
      <c r="T380"/>
      <c r="U380"/>
      <c r="V380"/>
      <c r="W380"/>
      <c r="X380"/>
      <c r="Y380"/>
      <c r="Z380"/>
    </row>
    <row r="381" spans="1:26" s="786" customFormat="1">
      <c r="A381" s="308"/>
      <c r="B381" s="308"/>
      <c r="C381" s="308"/>
      <c r="D381" s="308"/>
      <c r="E381" s="308"/>
      <c r="F381" s="308"/>
      <c r="G381" s="251"/>
      <c r="H381" s="251"/>
      <c r="I381" s="658"/>
      <c r="J381" s="308"/>
      <c r="K381" s="1104"/>
      <c r="L381" s="619"/>
      <c r="N381"/>
      <c r="O381"/>
      <c r="P381"/>
      <c r="Q381"/>
      <c r="R381"/>
      <c r="S381"/>
      <c r="T381"/>
      <c r="U381"/>
      <c r="V381"/>
      <c r="W381"/>
      <c r="X381"/>
      <c r="Y381"/>
      <c r="Z381"/>
    </row>
    <row r="382" spans="1:26" s="786" customFormat="1">
      <c r="A382" s="308"/>
      <c r="B382" s="308"/>
      <c r="C382" s="308"/>
      <c r="D382" s="308"/>
      <c r="E382" s="308"/>
      <c r="F382" s="308"/>
      <c r="G382" s="251"/>
      <c r="H382" s="251"/>
      <c r="I382" s="658"/>
      <c r="J382" s="308"/>
      <c r="K382" s="1104"/>
      <c r="L382" s="619"/>
      <c r="N382"/>
      <c r="O382"/>
      <c r="P382"/>
      <c r="Q382"/>
      <c r="R382"/>
      <c r="S382"/>
      <c r="T382"/>
      <c r="U382"/>
      <c r="V382"/>
      <c r="W382"/>
      <c r="X382"/>
      <c r="Y382"/>
      <c r="Z382"/>
    </row>
    <row r="383" spans="1:26" s="786" customFormat="1">
      <c r="A383" s="308"/>
      <c r="B383" s="308"/>
      <c r="C383" s="308"/>
      <c r="D383" s="308"/>
      <c r="E383" s="308"/>
      <c r="F383" s="308"/>
      <c r="G383" s="251"/>
      <c r="H383" s="251"/>
      <c r="I383" s="658"/>
      <c r="J383" s="308"/>
      <c r="K383" s="1104"/>
      <c r="L383" s="619"/>
      <c r="N383"/>
      <c r="O383"/>
      <c r="P383"/>
      <c r="Q383"/>
      <c r="R383"/>
      <c r="S383"/>
      <c r="T383"/>
      <c r="U383"/>
      <c r="V383"/>
      <c r="W383"/>
      <c r="X383"/>
      <c r="Y383"/>
      <c r="Z383"/>
    </row>
    <row r="384" spans="1:26" s="786" customFormat="1">
      <c r="A384" s="308"/>
      <c r="B384" s="308"/>
      <c r="C384" s="308"/>
      <c r="D384" s="308"/>
      <c r="E384" s="308"/>
      <c r="F384" s="308"/>
      <c r="G384" s="251"/>
      <c r="H384" s="251"/>
      <c r="I384" s="658"/>
      <c r="J384" s="308"/>
      <c r="K384" s="1104"/>
      <c r="L384" s="619"/>
      <c r="N384"/>
      <c r="O384"/>
      <c r="P384"/>
      <c r="Q384"/>
      <c r="R384"/>
      <c r="S384"/>
      <c r="T384"/>
      <c r="U384"/>
      <c r="V384"/>
      <c r="W384"/>
      <c r="X384"/>
      <c r="Y384"/>
      <c r="Z384"/>
    </row>
    <row r="385" spans="1:26" s="786" customFormat="1">
      <c r="A385" s="308"/>
      <c r="B385" s="308"/>
      <c r="C385" s="308"/>
      <c r="D385" s="308"/>
      <c r="E385" s="308"/>
      <c r="F385" s="308"/>
      <c r="G385" s="251"/>
      <c r="H385" s="251"/>
      <c r="I385" s="658"/>
      <c r="J385" s="308"/>
      <c r="K385" s="1104"/>
      <c r="L385" s="619"/>
      <c r="N385"/>
      <c r="O385"/>
      <c r="P385"/>
      <c r="Q385"/>
      <c r="R385"/>
      <c r="S385"/>
      <c r="T385"/>
      <c r="U385"/>
      <c r="V385"/>
      <c r="W385"/>
      <c r="X385"/>
      <c r="Y385"/>
      <c r="Z385"/>
    </row>
    <row r="386" spans="1:26" s="786" customFormat="1">
      <c r="A386" s="308"/>
      <c r="B386" s="308"/>
      <c r="C386" s="308"/>
      <c r="D386" s="308"/>
      <c r="E386" s="308"/>
      <c r="F386" s="308"/>
      <c r="G386" s="251"/>
      <c r="H386" s="251"/>
      <c r="I386" s="658"/>
      <c r="J386" s="308"/>
      <c r="K386" s="1104"/>
      <c r="L386" s="619"/>
      <c r="N386"/>
      <c r="O386"/>
      <c r="P386"/>
      <c r="Q386"/>
      <c r="R386"/>
      <c r="S386"/>
      <c r="T386"/>
      <c r="U386"/>
      <c r="V386"/>
      <c r="W386"/>
      <c r="X386"/>
      <c r="Y386"/>
      <c r="Z386"/>
    </row>
    <row r="387" spans="1:26" s="786" customFormat="1">
      <c r="A387" s="308"/>
      <c r="B387" s="308"/>
      <c r="C387" s="308"/>
      <c r="D387" s="308"/>
      <c r="E387" s="308"/>
      <c r="F387" s="308"/>
      <c r="G387" s="251"/>
      <c r="H387" s="251"/>
      <c r="I387" s="658"/>
      <c r="J387" s="308"/>
      <c r="K387" s="1104"/>
      <c r="L387" s="619"/>
      <c r="N387"/>
      <c r="O387"/>
      <c r="P387"/>
      <c r="Q387"/>
      <c r="R387"/>
      <c r="S387"/>
      <c r="T387"/>
      <c r="U387"/>
      <c r="V387"/>
      <c r="W387"/>
      <c r="X387"/>
      <c r="Y387"/>
      <c r="Z387"/>
    </row>
    <row r="388" spans="1:26" s="786" customFormat="1">
      <c r="A388" s="308"/>
      <c r="B388" s="308"/>
      <c r="C388" s="308"/>
      <c r="D388" s="308"/>
      <c r="E388" s="308"/>
      <c r="F388" s="308"/>
      <c r="G388" s="251"/>
      <c r="H388" s="251"/>
      <c r="I388" s="658"/>
      <c r="J388" s="308"/>
      <c r="K388" s="1104"/>
      <c r="L388" s="619"/>
      <c r="N388"/>
      <c r="O388"/>
      <c r="P388"/>
      <c r="Q388"/>
      <c r="R388"/>
      <c r="S388"/>
      <c r="T388"/>
      <c r="U388"/>
      <c r="V388"/>
      <c r="W388"/>
      <c r="X388"/>
      <c r="Y388"/>
      <c r="Z388"/>
    </row>
    <row r="389" spans="1:26" s="786" customFormat="1">
      <c r="A389" s="308"/>
      <c r="B389" s="308"/>
      <c r="C389" s="308"/>
      <c r="D389" s="308"/>
      <c r="E389" s="308"/>
      <c r="F389" s="308"/>
      <c r="G389" s="251"/>
      <c r="H389" s="251"/>
      <c r="I389" s="658"/>
      <c r="J389" s="308"/>
      <c r="K389" s="1104"/>
      <c r="L389" s="619"/>
      <c r="N389"/>
      <c r="O389"/>
      <c r="P389"/>
      <c r="Q389"/>
      <c r="R389"/>
      <c r="S389"/>
      <c r="T389"/>
      <c r="U389"/>
      <c r="V389"/>
      <c r="W389"/>
      <c r="X389"/>
      <c r="Y389"/>
      <c r="Z389"/>
    </row>
    <row r="390" spans="1:26" s="786" customFormat="1">
      <c r="A390" s="308"/>
      <c r="B390" s="308"/>
      <c r="C390" s="308"/>
      <c r="D390" s="308"/>
      <c r="E390" s="308"/>
      <c r="F390" s="308"/>
      <c r="G390" s="251"/>
      <c r="H390" s="251"/>
      <c r="I390" s="658"/>
      <c r="J390" s="308"/>
      <c r="K390" s="1104"/>
      <c r="L390" s="619"/>
      <c r="N390"/>
      <c r="O390"/>
      <c r="P390"/>
      <c r="Q390"/>
      <c r="R390"/>
      <c r="S390"/>
      <c r="T390"/>
      <c r="U390"/>
      <c r="V390"/>
      <c r="W390"/>
      <c r="X390"/>
      <c r="Y390"/>
      <c r="Z390"/>
    </row>
    <row r="391" spans="1:26" s="786" customFormat="1">
      <c r="A391" s="308"/>
      <c r="B391" s="308"/>
      <c r="C391" s="308"/>
      <c r="D391" s="308"/>
      <c r="E391" s="308"/>
      <c r="F391" s="308"/>
      <c r="G391" s="251"/>
      <c r="H391" s="251"/>
      <c r="I391" s="658"/>
      <c r="J391" s="308"/>
      <c r="K391" s="1104"/>
      <c r="L391" s="619"/>
      <c r="N391"/>
      <c r="O391"/>
      <c r="P391"/>
      <c r="Q391"/>
      <c r="R391"/>
      <c r="S391"/>
      <c r="T391"/>
      <c r="U391"/>
      <c r="V391"/>
      <c r="W391"/>
      <c r="X391"/>
      <c r="Y391"/>
      <c r="Z391"/>
    </row>
    <row r="392" spans="1:26" s="786" customFormat="1">
      <c r="A392" s="308"/>
      <c r="B392" s="308"/>
      <c r="C392" s="308"/>
      <c r="D392" s="308"/>
      <c r="E392" s="308"/>
      <c r="F392" s="308"/>
      <c r="G392" s="251"/>
      <c r="H392" s="251"/>
      <c r="I392" s="658"/>
      <c r="J392" s="308"/>
      <c r="K392" s="1104"/>
      <c r="L392" s="619"/>
      <c r="N392"/>
      <c r="O392"/>
      <c r="P392"/>
      <c r="Q392"/>
      <c r="R392"/>
      <c r="S392"/>
      <c r="T392"/>
      <c r="U392"/>
      <c r="V392"/>
      <c r="W392"/>
      <c r="X392"/>
      <c r="Y392"/>
      <c r="Z392"/>
    </row>
    <row r="393" spans="1:26" s="786" customFormat="1" ht="16.5" thickBot="1">
      <c r="A393" s="308"/>
      <c r="B393" s="308"/>
      <c r="C393" s="308"/>
      <c r="D393" s="308"/>
      <c r="E393" s="308"/>
      <c r="F393" s="308"/>
      <c r="G393" s="251"/>
      <c r="H393" s="251"/>
      <c r="I393" s="658"/>
      <c r="J393" s="308"/>
      <c r="K393" s="1104"/>
      <c r="L393" s="619"/>
      <c r="N393"/>
      <c r="O393"/>
      <c r="P393"/>
      <c r="Q393"/>
      <c r="R393"/>
      <c r="S393"/>
      <c r="T393"/>
      <c r="U393"/>
      <c r="V393"/>
      <c r="W393"/>
      <c r="X393"/>
      <c r="Y393"/>
      <c r="Z393"/>
    </row>
    <row r="394" spans="1:26" ht="16.5" thickTop="1">
      <c r="A394" s="1323" t="s">
        <v>367</v>
      </c>
      <c r="B394" s="1324"/>
      <c r="C394" s="1324"/>
      <c r="D394" s="1324"/>
      <c r="E394" s="1324"/>
      <c r="F394" s="1324"/>
      <c r="G394" s="1324"/>
      <c r="H394" s="1324"/>
      <c r="I394" s="1324"/>
      <c r="J394" s="1325"/>
      <c r="K394" s="1189"/>
      <c r="L394" s="585"/>
    </row>
    <row r="395" spans="1:26" ht="25.5">
      <c r="A395" s="936"/>
      <c r="B395" s="1326" t="s">
        <v>10</v>
      </c>
      <c r="C395" s="1326"/>
      <c r="D395" s="1326"/>
      <c r="E395" s="1326"/>
      <c r="F395" s="1326"/>
      <c r="G395" s="960" t="s">
        <v>287</v>
      </c>
      <c r="H395" s="960" t="s">
        <v>288</v>
      </c>
      <c r="I395" s="636" t="s">
        <v>18</v>
      </c>
      <c r="J395" s="377" t="s">
        <v>20</v>
      </c>
      <c r="K395" s="1190"/>
      <c r="L395" s="585"/>
    </row>
    <row r="396" spans="1:26">
      <c r="A396" s="378"/>
      <c r="B396" s="1316" t="s">
        <v>205</v>
      </c>
      <c r="C396" s="1317"/>
      <c r="D396" s="1317"/>
      <c r="E396" s="1317"/>
      <c r="F396" s="1318"/>
      <c r="G396" s="578"/>
      <c r="H396" s="578"/>
      <c r="I396" s="963"/>
      <c r="J396" s="541">
        <f>SUM(J397+J402+J404)</f>
        <v>25150.077699999998</v>
      </c>
      <c r="K396" s="1191"/>
      <c r="L396" s="616"/>
    </row>
    <row r="397" spans="1:26">
      <c r="A397" s="380">
        <v>1</v>
      </c>
      <c r="B397" s="1322" t="s">
        <v>36</v>
      </c>
      <c r="C397" s="1322"/>
      <c r="D397" s="1322"/>
      <c r="E397" s="1322"/>
      <c r="F397" s="1322"/>
      <c r="G397" s="181"/>
      <c r="H397" s="182"/>
      <c r="I397" s="637"/>
      <c r="J397" s="513">
        <f>SUM(J398:J401)</f>
        <v>10526.923699999999</v>
      </c>
      <c r="K397" s="1192"/>
      <c r="L397" s="620"/>
    </row>
    <row r="398" spans="1:26">
      <c r="A398" s="412" t="s">
        <v>39</v>
      </c>
      <c r="B398" s="1616" t="s">
        <v>364</v>
      </c>
      <c r="C398" s="1617"/>
      <c r="D398" s="1617"/>
      <c r="E398" s="1617"/>
      <c r="F398" s="1618"/>
      <c r="G398" s="185">
        <f>81+291.46</f>
        <v>372.46</v>
      </c>
      <c r="H398" s="186" t="s">
        <v>92</v>
      </c>
      <c r="I398" s="529">
        <v>15</v>
      </c>
      <c r="J398" s="514">
        <f>G398*I398</f>
        <v>5586.9</v>
      </c>
      <c r="K398" s="1193"/>
      <c r="L398" s="613"/>
      <c r="M398" s="786" t="s">
        <v>459</v>
      </c>
    </row>
    <row r="399" spans="1:26" ht="24.75" customHeight="1">
      <c r="A399" s="412" t="s">
        <v>345</v>
      </c>
      <c r="B399" s="1313" t="s">
        <v>93</v>
      </c>
      <c r="C399" s="1314"/>
      <c r="D399" s="1314"/>
      <c r="E399" s="1314"/>
      <c r="F399" s="1315"/>
      <c r="G399" s="185">
        <v>691.27</v>
      </c>
      <c r="H399" s="186" t="s">
        <v>96</v>
      </c>
      <c r="I399" s="529">
        <v>1.49</v>
      </c>
      <c r="J399" s="514">
        <f>G399*I399</f>
        <v>1029.9922999999999</v>
      </c>
      <c r="K399" s="1193"/>
      <c r="L399" s="613"/>
      <c r="M399" s="786" t="s">
        <v>460</v>
      </c>
    </row>
    <row r="400" spans="1:26">
      <c r="A400" s="412" t="s">
        <v>347</v>
      </c>
      <c r="B400" s="1313" t="s">
        <v>363</v>
      </c>
      <c r="C400" s="1314"/>
      <c r="D400" s="1314"/>
      <c r="E400" s="1314"/>
      <c r="F400" s="1315"/>
      <c r="G400" s="185">
        <f>G398</f>
        <v>372.46</v>
      </c>
      <c r="H400" s="186" t="s">
        <v>92</v>
      </c>
      <c r="I400" s="529">
        <v>4.2300000000000004</v>
      </c>
      <c r="J400" s="514">
        <f>G400*I400</f>
        <v>1575.5058000000001</v>
      </c>
      <c r="K400" s="1193"/>
      <c r="L400" s="613"/>
      <c r="M400" s="786" t="s">
        <v>461</v>
      </c>
    </row>
    <row r="401" spans="1:13">
      <c r="A401" s="412" t="s">
        <v>349</v>
      </c>
      <c r="B401" s="1313" t="s">
        <v>346</v>
      </c>
      <c r="C401" s="1314"/>
      <c r="D401" s="1314"/>
      <c r="E401" s="1314"/>
      <c r="F401" s="1315"/>
      <c r="G401" s="185">
        <f>215.36+25.81</f>
        <v>241.17000000000002</v>
      </c>
      <c r="H401" s="186" t="s">
        <v>96</v>
      </c>
      <c r="I401" s="529">
        <v>9.68</v>
      </c>
      <c r="J401" s="514">
        <f>G401*I401</f>
        <v>2334.5255999999999</v>
      </c>
      <c r="K401" s="1193"/>
      <c r="L401" s="613"/>
      <c r="M401" s="786" t="s">
        <v>461</v>
      </c>
    </row>
    <row r="402" spans="1:13" ht="12.6" customHeight="1">
      <c r="A402" s="380">
        <v>4</v>
      </c>
      <c r="B402" s="1322" t="s">
        <v>63</v>
      </c>
      <c r="C402" s="1322"/>
      <c r="D402" s="1322"/>
      <c r="E402" s="1322"/>
      <c r="F402" s="1322"/>
      <c r="G402" s="182"/>
      <c r="H402" s="189"/>
      <c r="I402" s="638"/>
      <c r="J402" s="384">
        <f>J403</f>
        <v>7373.96</v>
      </c>
      <c r="K402" s="1194"/>
      <c r="L402" s="534"/>
    </row>
    <row r="403" spans="1:13" ht="27" customHeight="1">
      <c r="A403" s="389" t="s">
        <v>62</v>
      </c>
      <c r="B403" s="1335" t="s">
        <v>57</v>
      </c>
      <c r="C403" s="1335"/>
      <c r="D403" s="1335"/>
      <c r="E403" s="1335"/>
      <c r="F403" s="1335"/>
      <c r="G403" s="196">
        <f>5.85+3.32</f>
        <v>9.17</v>
      </c>
      <c r="H403" s="186" t="s">
        <v>96</v>
      </c>
      <c r="I403" s="554">
        <v>804.14</v>
      </c>
      <c r="J403" s="390">
        <f>ROUND(G403*I403,2)</f>
        <v>7373.96</v>
      </c>
      <c r="K403" s="1195"/>
      <c r="L403" s="584"/>
      <c r="M403" s="786" t="s">
        <v>461</v>
      </c>
    </row>
    <row r="404" spans="1:13">
      <c r="A404" s="393">
        <v>5</v>
      </c>
      <c r="B404" s="1336" t="s">
        <v>78</v>
      </c>
      <c r="C404" s="1337"/>
      <c r="D404" s="1337"/>
      <c r="E404" s="1337"/>
      <c r="F404" s="1338"/>
      <c r="G404" s="292"/>
      <c r="H404" s="204"/>
      <c r="I404" s="637"/>
      <c r="J404" s="394">
        <f>SUM(J405:J405)</f>
        <v>7249.1940000000004</v>
      </c>
      <c r="K404" s="1196"/>
      <c r="L404" s="534"/>
    </row>
    <row r="405" spans="1:13">
      <c r="A405" s="397" t="s">
        <v>337</v>
      </c>
      <c r="B405" s="1313" t="s">
        <v>334</v>
      </c>
      <c r="C405" s="1314"/>
      <c r="D405" s="1314"/>
      <c r="E405" s="1314"/>
      <c r="F405" s="1315"/>
      <c r="G405" s="201">
        <v>15.63</v>
      </c>
      <c r="H405" s="186" t="s">
        <v>92</v>
      </c>
      <c r="I405" s="196">
        <v>463.8</v>
      </c>
      <c r="J405" s="390">
        <f>G405*I405</f>
        <v>7249.1940000000004</v>
      </c>
      <c r="K405" s="1195"/>
      <c r="L405" s="584"/>
      <c r="M405" s="786" t="s">
        <v>461</v>
      </c>
    </row>
    <row r="406" spans="1:13">
      <c r="A406" s="412"/>
      <c r="B406" s="928"/>
      <c r="C406" s="929"/>
      <c r="D406" s="929"/>
      <c r="E406" s="929"/>
      <c r="F406" s="930"/>
      <c r="G406" s="201"/>
      <c r="H406" s="186"/>
      <c r="I406" s="196"/>
      <c r="J406" s="390"/>
      <c r="K406" s="1195"/>
      <c r="L406" s="584"/>
    </row>
    <row r="407" spans="1:13" ht="13.15" customHeight="1">
      <c r="A407" s="417"/>
      <c r="B407" s="1316" t="s">
        <v>311</v>
      </c>
      <c r="C407" s="1317"/>
      <c r="D407" s="1317"/>
      <c r="E407" s="1317"/>
      <c r="F407" s="1318"/>
      <c r="G407" s="182"/>
      <c r="H407" s="189"/>
      <c r="I407" s="638"/>
      <c r="J407" s="542">
        <f>SUM(J408+J412+J414)</f>
        <v>10738.2876</v>
      </c>
      <c r="K407" s="1197"/>
      <c r="L407" s="614"/>
    </row>
    <row r="408" spans="1:13" ht="12" customHeight="1">
      <c r="A408" s="380">
        <v>3</v>
      </c>
      <c r="B408" s="1301" t="s">
        <v>315</v>
      </c>
      <c r="C408" s="1302"/>
      <c r="D408" s="1302"/>
      <c r="E408" s="1302"/>
      <c r="F408" s="1303"/>
      <c r="G408" s="182"/>
      <c r="H408" s="189"/>
      <c r="I408" s="637"/>
      <c r="J408" s="384">
        <f>SUM(J409:J411)</f>
        <v>3219.8576000000003</v>
      </c>
      <c r="K408" s="1194"/>
      <c r="L408" s="534"/>
    </row>
    <row r="409" spans="1:13" ht="29.45" customHeight="1">
      <c r="A409" s="385" t="s">
        <v>54</v>
      </c>
      <c r="B409" s="1330" t="s">
        <v>93</v>
      </c>
      <c r="C409" s="1330"/>
      <c r="D409" s="1330"/>
      <c r="E409" s="1330"/>
      <c r="F409" s="1330"/>
      <c r="G409" s="205">
        <f>21.42+84.82</f>
        <v>106.24</v>
      </c>
      <c r="H409" s="941" t="s">
        <v>96</v>
      </c>
      <c r="I409" s="529">
        <f>SUM(I399)</f>
        <v>1.49</v>
      </c>
      <c r="J409" s="395">
        <f>SUM(G409*I409)+0.04</f>
        <v>158.33759999999998</v>
      </c>
      <c r="K409" s="1198"/>
      <c r="L409" s="584"/>
      <c r="M409" s="786" t="s">
        <v>460</v>
      </c>
    </row>
    <row r="410" spans="1:13">
      <c r="A410" s="385" t="s">
        <v>95</v>
      </c>
      <c r="B410" s="1331" t="s">
        <v>94</v>
      </c>
      <c r="C410" s="1332"/>
      <c r="D410" s="1332"/>
      <c r="E410" s="1332"/>
      <c r="F410" s="1333"/>
      <c r="G410" s="205">
        <f>1.29+5.09</f>
        <v>6.38</v>
      </c>
      <c r="H410" s="941" t="s">
        <v>92</v>
      </c>
      <c r="I410" s="529">
        <v>201.99</v>
      </c>
      <c r="J410" s="395">
        <f>ROUND(G410*I410,2)</f>
        <v>1288.7</v>
      </c>
      <c r="K410" s="1198"/>
      <c r="L410" s="584"/>
      <c r="M410" s="786" t="s">
        <v>460</v>
      </c>
    </row>
    <row r="411" spans="1:13">
      <c r="A411" s="956" t="s">
        <v>97</v>
      </c>
      <c r="B411" s="1291" t="s">
        <v>370</v>
      </c>
      <c r="C411" s="1292"/>
      <c r="D411" s="1292"/>
      <c r="E411" s="1292"/>
      <c r="F411" s="1334"/>
      <c r="G411" s="300">
        <f>41.18+84.82</f>
        <v>126</v>
      </c>
      <c r="H411" s="941" t="s">
        <v>96</v>
      </c>
      <c r="I411" s="529">
        <v>14.07</v>
      </c>
      <c r="J411" s="515">
        <f>G411*I411</f>
        <v>1772.82</v>
      </c>
      <c r="K411" s="1199"/>
      <c r="L411" s="621"/>
      <c r="M411" s="786" t="s">
        <v>461</v>
      </c>
    </row>
    <row r="412" spans="1:13" ht="13.15" customHeight="1">
      <c r="A412" s="380">
        <v>8</v>
      </c>
      <c r="B412" s="1322" t="s">
        <v>116</v>
      </c>
      <c r="C412" s="1322"/>
      <c r="D412" s="1322"/>
      <c r="E412" s="1322"/>
      <c r="F412" s="1322"/>
      <c r="G412" s="182"/>
      <c r="H412" s="189"/>
      <c r="I412" s="638"/>
      <c r="J412" s="384">
        <f>J413</f>
        <v>1319.32</v>
      </c>
      <c r="K412" s="1194"/>
      <c r="L412" s="534"/>
    </row>
    <row r="413" spans="1:13" ht="24.75" customHeight="1">
      <c r="A413" s="397" t="s">
        <v>335</v>
      </c>
      <c r="B413" s="1313" t="s">
        <v>336</v>
      </c>
      <c r="C413" s="1314"/>
      <c r="D413" s="1314"/>
      <c r="E413" s="1314"/>
      <c r="F413" s="1315"/>
      <c r="G413" s="201">
        <v>1</v>
      </c>
      <c r="H413" s="186" t="s">
        <v>80</v>
      </c>
      <c r="I413" s="659">
        <v>1319.32</v>
      </c>
      <c r="J413" s="390">
        <f>ROUND(G413*I413,2)</f>
        <v>1319.32</v>
      </c>
      <c r="K413" s="1195"/>
      <c r="L413" s="584"/>
      <c r="M413" s="786" t="s">
        <v>461</v>
      </c>
    </row>
    <row r="414" spans="1:13" ht="12.6" customHeight="1">
      <c r="A414" s="439">
        <v>11</v>
      </c>
      <c r="B414" s="1310" t="s">
        <v>195</v>
      </c>
      <c r="C414" s="1311"/>
      <c r="D414" s="1311"/>
      <c r="E414" s="1311"/>
      <c r="F414" s="1312"/>
      <c r="G414" s="182"/>
      <c r="H414" s="189"/>
      <c r="I414" s="638"/>
      <c r="J414" s="384">
        <f>SUM(J415:J416)</f>
        <v>6199.1100000000006</v>
      </c>
      <c r="K414" s="1194"/>
      <c r="L414" s="534"/>
    </row>
    <row r="415" spans="1:13">
      <c r="A415" s="397" t="s">
        <v>343</v>
      </c>
      <c r="B415" s="1313" t="s">
        <v>344</v>
      </c>
      <c r="C415" s="1314"/>
      <c r="D415" s="1314"/>
      <c r="E415" s="1314"/>
      <c r="F415" s="1315"/>
      <c r="G415" s="201">
        <f>6+3</f>
        <v>9</v>
      </c>
      <c r="H415" s="186" t="s">
        <v>96</v>
      </c>
      <c r="I415" s="659">
        <v>629.51</v>
      </c>
      <c r="J415" s="390">
        <f>ROUND(G415*I415,2)</f>
        <v>5665.59</v>
      </c>
      <c r="K415" s="1195"/>
      <c r="L415" s="584"/>
      <c r="M415" s="786" t="s">
        <v>461</v>
      </c>
    </row>
    <row r="416" spans="1:13" ht="18.600000000000001" customHeight="1">
      <c r="A416" s="412" t="s">
        <v>368</v>
      </c>
      <c r="B416" s="1313" t="s">
        <v>369</v>
      </c>
      <c r="C416" s="1314"/>
      <c r="D416" s="1314"/>
      <c r="E416" s="1314"/>
      <c r="F416" s="1315"/>
      <c r="G416" s="201">
        <v>18</v>
      </c>
      <c r="H416" s="186" t="s">
        <v>96</v>
      </c>
      <c r="I416" s="660">
        <v>29.64</v>
      </c>
      <c r="J416" s="390">
        <f>G416*I416</f>
        <v>533.52</v>
      </c>
      <c r="K416" s="1195"/>
      <c r="L416" s="584"/>
      <c r="M416" s="786" t="s">
        <v>461</v>
      </c>
    </row>
    <row r="417" spans="1:13" ht="13.15" customHeight="1">
      <c r="A417" s="417"/>
      <c r="B417" s="1316" t="s">
        <v>348</v>
      </c>
      <c r="C417" s="1317"/>
      <c r="D417" s="1317"/>
      <c r="E417" s="1317"/>
      <c r="F417" s="1318"/>
      <c r="G417" s="182"/>
      <c r="H417" s="189"/>
      <c r="I417" s="637"/>
      <c r="J417" s="384">
        <f>SUM(J418+J424+J431+J434)-2</f>
        <v>27196.362591999998</v>
      </c>
      <c r="K417" s="1194"/>
      <c r="L417" s="534"/>
    </row>
    <row r="418" spans="1:13" ht="13.15" customHeight="1">
      <c r="A418" s="380">
        <v>1</v>
      </c>
      <c r="B418" s="1301" t="s">
        <v>91</v>
      </c>
      <c r="C418" s="1302"/>
      <c r="D418" s="1302"/>
      <c r="E418" s="1302"/>
      <c r="F418" s="1303"/>
      <c r="G418" s="221"/>
      <c r="H418" s="222"/>
      <c r="I418" s="648"/>
      <c r="J418" s="419">
        <f>SUM(J419:J423)-0.01</f>
        <v>5600.4325919999992</v>
      </c>
      <c r="K418" s="1200"/>
      <c r="L418" s="615"/>
    </row>
    <row r="419" spans="1:13">
      <c r="A419" s="397" t="s">
        <v>37</v>
      </c>
      <c r="B419" s="1313" t="s">
        <v>85</v>
      </c>
      <c r="C419" s="1314"/>
      <c r="D419" s="1314"/>
      <c r="E419" s="1314"/>
      <c r="F419" s="1315"/>
      <c r="G419" s="201">
        <f>1.8+1.46+1.18</f>
        <v>4.4399999999999995</v>
      </c>
      <c r="H419" s="186" t="s">
        <v>92</v>
      </c>
      <c r="I419" s="529">
        <f>SUM(I168)</f>
        <v>28.566000000000003</v>
      </c>
      <c r="J419" s="390">
        <f>G419*I419</f>
        <v>126.83304</v>
      </c>
      <c r="K419" s="1195"/>
      <c r="L419" s="584"/>
      <c r="M419" s="786" t="s">
        <v>460</v>
      </c>
    </row>
    <row r="420" spans="1:13">
      <c r="A420" s="397" t="s">
        <v>39</v>
      </c>
      <c r="B420" s="1319" t="s">
        <v>49</v>
      </c>
      <c r="C420" s="1320"/>
      <c r="D420" s="1320"/>
      <c r="E420" s="1320"/>
      <c r="F420" s="1321"/>
      <c r="G420" s="201">
        <f>32+36</f>
        <v>68</v>
      </c>
      <c r="H420" s="186" t="s">
        <v>52</v>
      </c>
      <c r="I420" s="529">
        <f>I132</f>
        <v>33.129199999999997</v>
      </c>
      <c r="J420" s="390">
        <f>G420*I420</f>
        <v>2252.7855999999997</v>
      </c>
      <c r="K420" s="1195"/>
      <c r="L420" s="584"/>
      <c r="M420" s="786" t="s">
        <v>460</v>
      </c>
    </row>
    <row r="421" spans="1:13">
      <c r="A421" s="397" t="s">
        <v>345</v>
      </c>
      <c r="B421" s="965" t="s">
        <v>87</v>
      </c>
      <c r="C421" s="929"/>
      <c r="D421" s="929"/>
      <c r="E421" s="929"/>
      <c r="F421" s="930"/>
      <c r="G421" s="201">
        <f>162+131.4+106.2</f>
        <v>399.59999999999997</v>
      </c>
      <c r="H421" s="186" t="s">
        <v>50</v>
      </c>
      <c r="I421" s="529">
        <f>I171</f>
        <v>4.6092000000000004</v>
      </c>
      <c r="J421" s="390">
        <f>G421*I421</f>
        <v>1841.8363200000001</v>
      </c>
      <c r="K421" s="1195"/>
      <c r="L421" s="584"/>
      <c r="M421" s="786" t="s">
        <v>460</v>
      </c>
    </row>
    <row r="422" spans="1:13">
      <c r="A422" s="397" t="s">
        <v>347</v>
      </c>
      <c r="B422" s="243" t="s">
        <v>89</v>
      </c>
      <c r="C422" s="929"/>
      <c r="D422" s="929"/>
      <c r="E422" s="929"/>
      <c r="F422" s="930"/>
      <c r="G422" s="201">
        <f>1.8+1.46+1.18</f>
        <v>4.4399999999999995</v>
      </c>
      <c r="H422" s="186" t="s">
        <v>92</v>
      </c>
      <c r="I422" s="529">
        <f>I172</f>
        <v>230.39560000000003</v>
      </c>
      <c r="J422" s="390">
        <f>G422*I422</f>
        <v>1022.956464</v>
      </c>
      <c r="K422" s="1195"/>
      <c r="L422" s="584"/>
      <c r="M422" s="786" t="s">
        <v>460</v>
      </c>
    </row>
    <row r="423" spans="1:13">
      <c r="A423" s="397" t="s">
        <v>349</v>
      </c>
      <c r="B423" s="965" t="s">
        <v>90</v>
      </c>
      <c r="C423" s="929"/>
      <c r="D423" s="929"/>
      <c r="E423" s="929"/>
      <c r="F423" s="930"/>
      <c r="G423" s="201">
        <f>1.8+1.46+1.18</f>
        <v>4.4399999999999995</v>
      </c>
      <c r="H423" s="186" t="s">
        <v>92</v>
      </c>
      <c r="I423" s="529">
        <f>I173</f>
        <v>80.187200000000004</v>
      </c>
      <c r="J423" s="390">
        <f>G423*I423</f>
        <v>356.03116799999998</v>
      </c>
      <c r="K423" s="1195"/>
      <c r="L423" s="584"/>
      <c r="M423" s="786" t="s">
        <v>460</v>
      </c>
    </row>
    <row r="424" spans="1:13" ht="13.9" customHeight="1">
      <c r="A424" s="380">
        <v>2</v>
      </c>
      <c r="B424" s="1301" t="s">
        <v>351</v>
      </c>
      <c r="C424" s="1302"/>
      <c r="D424" s="1302"/>
      <c r="E424" s="1302"/>
      <c r="F424" s="1303"/>
      <c r="G424" s="221"/>
      <c r="H424" s="222"/>
      <c r="I424" s="648"/>
      <c r="J424" s="419">
        <f>SUM(J425:J430)</f>
        <v>10782.57</v>
      </c>
      <c r="K424" s="1200"/>
      <c r="L424" s="615"/>
    </row>
    <row r="425" spans="1:13">
      <c r="A425" s="397" t="s">
        <v>84</v>
      </c>
      <c r="B425" s="1313" t="s">
        <v>352</v>
      </c>
      <c r="C425" s="1314"/>
      <c r="D425" s="1314"/>
      <c r="E425" s="1314"/>
      <c r="F425" s="1315"/>
      <c r="G425" s="244">
        <v>0.45</v>
      </c>
      <c r="H425" s="202" t="s">
        <v>92</v>
      </c>
      <c r="I425" s="529">
        <v>48.76</v>
      </c>
      <c r="J425" s="390">
        <f t="shared" ref="J425:J430" si="31">ROUND(G425*I425,2)</f>
        <v>21.94</v>
      </c>
      <c r="K425" s="1195"/>
      <c r="L425" s="584"/>
      <c r="M425" s="786" t="s">
        <v>461</v>
      </c>
    </row>
    <row r="426" spans="1:13">
      <c r="A426" s="397" t="s">
        <v>43</v>
      </c>
      <c r="B426" s="932" t="s">
        <v>353</v>
      </c>
      <c r="C426" s="929"/>
      <c r="D426" s="929"/>
      <c r="E426" s="929"/>
      <c r="F426" s="930"/>
      <c r="G426" s="201">
        <f>60-6+48.54+39.46</f>
        <v>142</v>
      </c>
      <c r="H426" s="186" t="s">
        <v>96</v>
      </c>
      <c r="I426" s="529">
        <v>40.9</v>
      </c>
      <c r="J426" s="390">
        <f t="shared" si="31"/>
        <v>5807.8</v>
      </c>
      <c r="K426" s="1195"/>
      <c r="L426" s="584"/>
      <c r="M426" s="786" t="s">
        <v>461</v>
      </c>
    </row>
    <row r="427" spans="1:13">
      <c r="A427" s="397" t="s">
        <v>240</v>
      </c>
      <c r="B427" s="932" t="s">
        <v>89</v>
      </c>
      <c r="C427" s="929"/>
      <c r="D427" s="929"/>
      <c r="E427" s="929"/>
      <c r="F427" s="930"/>
      <c r="G427" s="201">
        <f>0.72+0.81</f>
        <v>1.53</v>
      </c>
      <c r="H427" s="186" t="s">
        <v>92</v>
      </c>
      <c r="I427" s="529">
        <f>I172</f>
        <v>230.39560000000003</v>
      </c>
      <c r="J427" s="390">
        <f t="shared" si="31"/>
        <v>352.51</v>
      </c>
      <c r="K427" s="1195"/>
      <c r="L427" s="584"/>
      <c r="M427" s="786" t="s">
        <v>460</v>
      </c>
    </row>
    <row r="428" spans="1:13">
      <c r="A428" s="397" t="s">
        <v>45</v>
      </c>
      <c r="B428" s="932" t="s">
        <v>354</v>
      </c>
      <c r="C428" s="929"/>
      <c r="D428" s="929"/>
      <c r="E428" s="929"/>
      <c r="F428" s="930"/>
      <c r="G428" s="201">
        <f>64.8+72.9</f>
        <v>137.69999999999999</v>
      </c>
      <c r="H428" s="186" t="s">
        <v>50</v>
      </c>
      <c r="I428" s="529">
        <f>I171</f>
        <v>4.6092000000000004</v>
      </c>
      <c r="J428" s="390">
        <f t="shared" si="31"/>
        <v>634.69000000000005</v>
      </c>
      <c r="K428" s="1195"/>
      <c r="L428" s="584"/>
      <c r="M428" s="786" t="s">
        <v>460</v>
      </c>
    </row>
    <row r="429" spans="1:13">
      <c r="A429" s="397" t="s">
        <v>47</v>
      </c>
      <c r="B429" s="932" t="s">
        <v>321</v>
      </c>
      <c r="C429" s="929"/>
      <c r="D429" s="929"/>
      <c r="E429" s="929"/>
      <c r="F429" s="930"/>
      <c r="G429" s="201">
        <f>0.72+0.81</f>
        <v>1.53</v>
      </c>
      <c r="H429" s="186" t="s">
        <v>92</v>
      </c>
      <c r="I429" s="529">
        <f>I173</f>
        <v>80.187200000000004</v>
      </c>
      <c r="J429" s="390">
        <f t="shared" si="31"/>
        <v>122.69</v>
      </c>
      <c r="K429" s="1195"/>
      <c r="L429" s="584"/>
      <c r="M429" s="786" t="s">
        <v>460</v>
      </c>
    </row>
    <row r="430" spans="1:13">
      <c r="A430" s="397" t="s">
        <v>48</v>
      </c>
      <c r="B430" s="932" t="s">
        <v>323</v>
      </c>
      <c r="C430" s="929"/>
      <c r="D430" s="929"/>
      <c r="E430" s="929"/>
      <c r="F430" s="930"/>
      <c r="G430" s="201">
        <f>19.2+21.6</f>
        <v>40.799999999999997</v>
      </c>
      <c r="H430" s="186" t="s">
        <v>96</v>
      </c>
      <c r="I430" s="529">
        <f>I184</f>
        <v>94.189599999999999</v>
      </c>
      <c r="J430" s="390">
        <f t="shared" si="31"/>
        <v>3842.94</v>
      </c>
      <c r="K430" s="1195"/>
      <c r="L430" s="584"/>
      <c r="M430" s="786" t="s">
        <v>460</v>
      </c>
    </row>
    <row r="431" spans="1:13">
      <c r="A431" s="380">
        <v>3</v>
      </c>
      <c r="B431" s="1301" t="s">
        <v>208</v>
      </c>
      <c r="C431" s="1302"/>
      <c r="D431" s="1302"/>
      <c r="E431" s="1302"/>
      <c r="F431" s="1303"/>
      <c r="G431" s="221"/>
      <c r="H431" s="222"/>
      <c r="I431" s="648"/>
      <c r="J431" s="419">
        <f>SUM(J432:J433)</f>
        <v>3976.68</v>
      </c>
      <c r="K431" s="1200"/>
      <c r="L431" s="615"/>
    </row>
    <row r="432" spans="1:13">
      <c r="A432" s="397" t="s">
        <v>54</v>
      </c>
      <c r="B432" s="932" t="s">
        <v>65</v>
      </c>
      <c r="C432" s="929"/>
      <c r="D432" s="929"/>
      <c r="E432" s="929"/>
      <c r="F432" s="930"/>
      <c r="G432" s="201">
        <v>284</v>
      </c>
      <c r="H432" s="186" t="s">
        <v>96</v>
      </c>
      <c r="I432" s="529">
        <f>I146</f>
        <v>3.5420000000000003</v>
      </c>
      <c r="J432" s="390">
        <f>ROUND(G432*I432,2)</f>
        <v>1005.93</v>
      </c>
      <c r="K432" s="1195"/>
      <c r="L432" s="584"/>
      <c r="M432" s="786" t="s">
        <v>460</v>
      </c>
    </row>
    <row r="433" spans="1:26">
      <c r="A433" s="397" t="s">
        <v>95</v>
      </c>
      <c r="B433" s="932" t="s">
        <v>66</v>
      </c>
      <c r="C433" s="929"/>
      <c r="D433" s="929"/>
      <c r="E433" s="929"/>
      <c r="F433" s="930"/>
      <c r="G433" s="201">
        <v>284</v>
      </c>
      <c r="H433" s="186" t="s">
        <v>96</v>
      </c>
      <c r="I433" s="529">
        <f>I147</f>
        <v>10.4604</v>
      </c>
      <c r="J433" s="390">
        <v>2970.75</v>
      </c>
      <c r="K433" s="1195"/>
      <c r="L433" s="584"/>
      <c r="M433" s="786" t="s">
        <v>460</v>
      </c>
    </row>
    <row r="434" spans="1:26" ht="12.6" customHeight="1">
      <c r="A434" s="380">
        <v>4</v>
      </c>
      <c r="B434" s="1301" t="s">
        <v>350</v>
      </c>
      <c r="C434" s="1302"/>
      <c r="D434" s="1302"/>
      <c r="E434" s="1302"/>
      <c r="F434" s="1303"/>
      <c r="G434" s="221"/>
      <c r="H434" s="222"/>
      <c r="I434" s="648"/>
      <c r="J434" s="419">
        <f>J435</f>
        <v>6838.6799999999994</v>
      </c>
      <c r="K434" s="1200"/>
      <c r="L434" s="615"/>
    </row>
    <row r="435" spans="1:26">
      <c r="A435" s="397" t="s">
        <v>58</v>
      </c>
      <c r="B435" s="932" t="s">
        <v>193</v>
      </c>
      <c r="C435" s="929"/>
      <c r="D435" s="929"/>
      <c r="E435" s="929"/>
      <c r="F435" s="930"/>
      <c r="G435" s="201">
        <v>284</v>
      </c>
      <c r="H435" s="186" t="s">
        <v>96</v>
      </c>
      <c r="I435" s="659">
        <f>I243</f>
        <v>24.08</v>
      </c>
      <c r="J435" s="390">
        <f>SUM(G435*I435)-0.04</f>
        <v>6838.6799999999994</v>
      </c>
      <c r="K435" s="1195"/>
      <c r="L435" s="584"/>
      <c r="M435" s="786" t="s">
        <v>460</v>
      </c>
    </row>
    <row r="436" spans="1:26">
      <c r="A436" s="397"/>
      <c r="B436" s="543"/>
      <c r="C436" s="929"/>
      <c r="D436" s="929"/>
      <c r="E436" s="929"/>
      <c r="F436" s="930"/>
      <c r="G436" s="201"/>
      <c r="H436" s="186"/>
      <c r="I436" s="649"/>
      <c r="J436" s="531"/>
      <c r="K436" s="1201"/>
      <c r="L436" s="584"/>
    </row>
    <row r="437" spans="1:26">
      <c r="A437" s="1548" t="s">
        <v>21</v>
      </c>
      <c r="B437" s="1549"/>
      <c r="C437" s="1550"/>
      <c r="D437" s="1550"/>
      <c r="E437" s="1550"/>
      <c r="F437" s="1550"/>
      <c r="G437" s="1550"/>
      <c r="H437" s="1550"/>
      <c r="I437" s="652"/>
      <c r="J437" s="571">
        <f>SUM(J396+J407+J417)</f>
        <v>63084.727891999995</v>
      </c>
      <c r="K437" s="1202"/>
      <c r="L437" s="616"/>
    </row>
    <row r="438" spans="1:26" ht="14.45" customHeight="1">
      <c r="A438" s="1613" t="s">
        <v>432</v>
      </c>
      <c r="B438" s="1614"/>
      <c r="C438" s="1614"/>
      <c r="D438" s="1614"/>
      <c r="E438" s="1614"/>
      <c r="F438" s="1614"/>
      <c r="G438" s="1614"/>
      <c r="H438" s="1614"/>
      <c r="I438" s="1614"/>
      <c r="J438" s="1615"/>
      <c r="K438" s="1119"/>
      <c r="L438" s="501"/>
    </row>
    <row r="439" spans="1:26">
      <c r="A439" s="924"/>
      <c r="B439" s="925"/>
      <c r="C439" s="925"/>
      <c r="D439" s="925"/>
      <c r="E439" s="925"/>
      <c r="F439" s="925"/>
      <c r="G439" s="290"/>
      <c r="H439" s="290"/>
      <c r="I439" s="633"/>
      <c r="J439" s="926"/>
      <c r="K439" s="1186"/>
      <c r="L439" s="501"/>
    </row>
    <row r="440" spans="1:26">
      <c r="A440" s="924"/>
      <c r="B440" s="925"/>
      <c r="C440" s="925"/>
      <c r="D440" s="925"/>
      <c r="E440" s="925"/>
      <c r="F440" s="925"/>
      <c r="G440" s="290"/>
      <c r="H440" s="290"/>
      <c r="I440" s="633"/>
      <c r="J440" s="926"/>
      <c r="K440" s="1186"/>
      <c r="L440" s="501"/>
    </row>
    <row r="441" spans="1:26">
      <c r="A441" s="924"/>
      <c r="B441" s="925"/>
      <c r="C441" s="925"/>
      <c r="D441" s="925"/>
      <c r="E441" s="925"/>
      <c r="F441" s="925"/>
      <c r="G441" s="290"/>
      <c r="H441" s="290"/>
      <c r="I441" s="633"/>
      <c r="J441" s="926"/>
      <c r="K441" s="1186"/>
      <c r="L441" s="501"/>
    </row>
    <row r="442" spans="1:26" s="786" customFormat="1">
      <c r="A442" s="924"/>
      <c r="B442" s="925"/>
      <c r="C442" s="925"/>
      <c r="D442" s="925"/>
      <c r="E442" s="925"/>
      <c r="F442" s="925"/>
      <c r="G442" s="290"/>
      <c r="H442" s="290"/>
      <c r="I442" s="633"/>
      <c r="J442" s="926"/>
      <c r="K442" s="1186"/>
      <c r="L442" s="501"/>
      <c r="N442"/>
      <c r="O442"/>
      <c r="P442"/>
      <c r="Q442"/>
      <c r="R442"/>
      <c r="S442"/>
      <c r="T442"/>
      <c r="U442"/>
      <c r="V442"/>
      <c r="W442"/>
      <c r="X442"/>
      <c r="Y442"/>
      <c r="Z442"/>
    </row>
    <row r="443" spans="1:26" s="786" customFormat="1">
      <c r="A443" s="1297" t="s">
        <v>379</v>
      </c>
      <c r="B443" s="1298"/>
      <c r="C443" s="1298"/>
      <c r="D443" s="1298"/>
      <c r="E443" s="1298"/>
      <c r="F443" s="1299" t="s">
        <v>296</v>
      </c>
      <c r="G443" s="1299"/>
      <c r="H443" s="1299"/>
      <c r="I443" s="1299"/>
      <c r="J443" s="1300"/>
      <c r="K443" s="1187"/>
      <c r="L443" s="617"/>
      <c r="N443"/>
      <c r="O443"/>
      <c r="P443"/>
      <c r="Q443"/>
      <c r="R443"/>
      <c r="S443"/>
      <c r="T443"/>
      <c r="U443"/>
      <c r="V443"/>
      <c r="W443"/>
      <c r="X443"/>
      <c r="Y443"/>
      <c r="Z443"/>
    </row>
    <row r="444" spans="1:26" s="786" customFormat="1">
      <c r="A444" s="1297" t="s">
        <v>380</v>
      </c>
      <c r="B444" s="1298"/>
      <c r="C444" s="1298"/>
      <c r="D444" s="1298"/>
      <c r="E444" s="1298"/>
      <c r="F444" s="1299" t="s">
        <v>381</v>
      </c>
      <c r="G444" s="1299"/>
      <c r="H444" s="1299"/>
      <c r="I444" s="1299"/>
      <c r="J444" s="1300"/>
      <c r="K444" s="1187"/>
      <c r="L444" s="617"/>
      <c r="N444"/>
      <c r="O444"/>
      <c r="P444"/>
      <c r="Q444"/>
      <c r="R444"/>
      <c r="S444"/>
      <c r="T444"/>
      <c r="U444"/>
      <c r="V444"/>
      <c r="W444"/>
      <c r="X444"/>
      <c r="Y444"/>
      <c r="Z444"/>
    </row>
    <row r="445" spans="1:26" s="786" customFormat="1">
      <c r="A445" s="1297" t="s">
        <v>382</v>
      </c>
      <c r="B445" s="1298"/>
      <c r="C445" s="1298"/>
      <c r="D445" s="1298"/>
      <c r="E445" s="1298"/>
      <c r="F445" s="1299" t="s">
        <v>383</v>
      </c>
      <c r="G445" s="1299"/>
      <c r="H445" s="1299"/>
      <c r="I445" s="1299"/>
      <c r="J445" s="1300"/>
      <c r="K445" s="1187"/>
      <c r="L445" s="617"/>
      <c r="N445"/>
      <c r="O445"/>
      <c r="P445"/>
      <c r="Q445"/>
      <c r="R445"/>
      <c r="S445"/>
      <c r="T445"/>
      <c r="U445"/>
      <c r="V445"/>
      <c r="W445"/>
      <c r="X445"/>
      <c r="Y445"/>
      <c r="Z445"/>
    </row>
    <row r="446" spans="1:26" s="786" customFormat="1" ht="16.5" thickBot="1">
      <c r="A446" s="486"/>
      <c r="B446" s="487"/>
      <c r="C446" s="487"/>
      <c r="D446" s="487"/>
      <c r="E446" s="487"/>
      <c r="F446" s="400"/>
      <c r="G446" s="399"/>
      <c r="H446" s="399"/>
      <c r="I446" s="644"/>
      <c r="J446" s="488"/>
      <c r="K446" s="1188"/>
      <c r="L446" s="503"/>
      <c r="N446"/>
      <c r="O446"/>
      <c r="P446"/>
      <c r="Q446"/>
      <c r="R446"/>
      <c r="S446"/>
      <c r="T446"/>
      <c r="U446"/>
      <c r="V446"/>
      <c r="W446"/>
      <c r="X446"/>
      <c r="Y446"/>
      <c r="Z446"/>
    </row>
    <row r="447" spans="1:26" s="786" customFormat="1" ht="16.5" thickTop="1">
      <c r="A447" s="308"/>
      <c r="B447" s="308"/>
      <c r="C447" s="308"/>
      <c r="D447" s="308"/>
      <c r="E447" s="308"/>
      <c r="F447" s="308"/>
      <c r="G447" s="251"/>
      <c r="H447" s="251"/>
      <c r="I447" s="658"/>
      <c r="J447" s="308"/>
      <c r="K447" s="1104"/>
      <c r="L447" s="619"/>
      <c r="N447"/>
      <c r="O447"/>
      <c r="P447"/>
      <c r="Q447"/>
      <c r="R447"/>
      <c r="S447"/>
      <c r="T447"/>
      <c r="U447"/>
      <c r="V447"/>
      <c r="W447"/>
      <c r="X447"/>
      <c r="Y447"/>
      <c r="Z447"/>
    </row>
    <row r="448" spans="1:26" s="786" customFormat="1">
      <c r="A448" s="308"/>
      <c r="B448" s="308"/>
      <c r="C448" s="308"/>
      <c r="D448" s="308"/>
      <c r="E448" s="308"/>
      <c r="F448" s="308"/>
      <c r="G448" s="251"/>
      <c r="H448" s="251"/>
      <c r="I448" s="658"/>
      <c r="J448" s="308"/>
      <c r="K448" s="1104"/>
      <c r="L448" s="619"/>
      <c r="N448"/>
      <c r="O448"/>
      <c r="P448"/>
      <c r="Q448"/>
      <c r="R448"/>
      <c r="S448"/>
      <c r="T448"/>
      <c r="U448"/>
      <c r="V448"/>
      <c r="W448"/>
      <c r="X448"/>
      <c r="Y448"/>
      <c r="Z448"/>
    </row>
  </sheetData>
  <mergeCells count="424">
    <mergeCell ref="A17:J17"/>
    <mergeCell ref="A18:J18"/>
    <mergeCell ref="A20:J20"/>
    <mergeCell ref="A21:J21"/>
    <mergeCell ref="A22:C22"/>
    <mergeCell ref="D22:H22"/>
    <mergeCell ref="I22:J22"/>
    <mergeCell ref="A8:J8"/>
    <mergeCell ref="A9:J11"/>
    <mergeCell ref="A12:J12"/>
    <mergeCell ref="A13:J13"/>
    <mergeCell ref="A14:J14"/>
    <mergeCell ref="A15:J15"/>
    <mergeCell ref="A27:F27"/>
    <mergeCell ref="G27:J27"/>
    <mergeCell ref="A28:F28"/>
    <mergeCell ref="G28:J28"/>
    <mergeCell ref="A30:J30"/>
    <mergeCell ref="A31:F31"/>
    <mergeCell ref="G31:H31"/>
    <mergeCell ref="I31:J31"/>
    <mergeCell ref="A23:B23"/>
    <mergeCell ref="C23:D23"/>
    <mergeCell ref="E23:G23"/>
    <mergeCell ref="H23:J23"/>
    <mergeCell ref="A25:J25"/>
    <mergeCell ref="A26:F26"/>
    <mergeCell ref="G26:H26"/>
    <mergeCell ref="I26:J26"/>
    <mergeCell ref="A35:J35"/>
    <mergeCell ref="A36:J36"/>
    <mergeCell ref="A37:J37"/>
    <mergeCell ref="A39:J39"/>
    <mergeCell ref="A40:J40"/>
    <mergeCell ref="A41:J41"/>
    <mergeCell ref="A32:D32"/>
    <mergeCell ref="E32:G32"/>
    <mergeCell ref="H32:J32"/>
    <mergeCell ref="C33:D33"/>
    <mergeCell ref="E33:F33"/>
    <mergeCell ref="G33:J33"/>
    <mergeCell ref="A47:J47"/>
    <mergeCell ref="B48:C48"/>
    <mergeCell ref="D48:J48"/>
    <mergeCell ref="B49:C49"/>
    <mergeCell ref="D49:J49"/>
    <mergeCell ref="B50:C50"/>
    <mergeCell ref="D50:J50"/>
    <mergeCell ref="A42:J42"/>
    <mergeCell ref="A43:J43"/>
    <mergeCell ref="A44:C44"/>
    <mergeCell ref="A45:A46"/>
    <mergeCell ref="B45:C45"/>
    <mergeCell ref="D45:J45"/>
    <mergeCell ref="B46:C46"/>
    <mergeCell ref="D46:J46"/>
    <mergeCell ref="B54:C54"/>
    <mergeCell ref="B55:C55"/>
    <mergeCell ref="D55:J55"/>
    <mergeCell ref="B56:C56"/>
    <mergeCell ref="D56:J56"/>
    <mergeCell ref="B57:C57"/>
    <mergeCell ref="D57:J57"/>
    <mergeCell ref="B51:C51"/>
    <mergeCell ref="D51:J51"/>
    <mergeCell ref="B52:C52"/>
    <mergeCell ref="D52:J52"/>
    <mergeCell ref="B53:C53"/>
    <mergeCell ref="D53:J53"/>
    <mergeCell ref="B61:C61"/>
    <mergeCell ref="D61:J61"/>
    <mergeCell ref="B62:C62"/>
    <mergeCell ref="D62:J62"/>
    <mergeCell ref="B63:C63"/>
    <mergeCell ref="D63:J63"/>
    <mergeCell ref="B58:C58"/>
    <mergeCell ref="D58:J58"/>
    <mergeCell ref="B59:C59"/>
    <mergeCell ref="D59:J59"/>
    <mergeCell ref="B60:C60"/>
    <mergeCell ref="D60:J60"/>
    <mergeCell ref="B67:C67"/>
    <mergeCell ref="D67:J67"/>
    <mergeCell ref="B68:C68"/>
    <mergeCell ref="D68:J68"/>
    <mergeCell ref="B69:C69"/>
    <mergeCell ref="D69:J69"/>
    <mergeCell ref="B64:C64"/>
    <mergeCell ref="D64:J64"/>
    <mergeCell ref="B65:C65"/>
    <mergeCell ref="D65:J65"/>
    <mergeCell ref="B66:C66"/>
    <mergeCell ref="D66:J66"/>
    <mergeCell ref="A74:J74"/>
    <mergeCell ref="B75:C75"/>
    <mergeCell ref="D75:J75"/>
    <mergeCell ref="B76:C76"/>
    <mergeCell ref="D76:J76"/>
    <mergeCell ref="B77:C77"/>
    <mergeCell ref="D77:J77"/>
    <mergeCell ref="B70:C70"/>
    <mergeCell ref="D70:J70"/>
    <mergeCell ref="B71:C71"/>
    <mergeCell ref="D71:J71"/>
    <mergeCell ref="B72:C72"/>
    <mergeCell ref="D72:J72"/>
    <mergeCell ref="B81:C81"/>
    <mergeCell ref="D81:J81"/>
    <mergeCell ref="B82:C82"/>
    <mergeCell ref="D82:J82"/>
    <mergeCell ref="B83:C83"/>
    <mergeCell ref="D83:J83"/>
    <mergeCell ref="B78:C78"/>
    <mergeCell ref="D78:J78"/>
    <mergeCell ref="B79:C79"/>
    <mergeCell ref="D79:J79"/>
    <mergeCell ref="B80:C80"/>
    <mergeCell ref="D80:J80"/>
    <mergeCell ref="B87:C87"/>
    <mergeCell ref="D87:J87"/>
    <mergeCell ref="B88:C88"/>
    <mergeCell ref="D88:J88"/>
    <mergeCell ref="B89:C89"/>
    <mergeCell ref="D89:J89"/>
    <mergeCell ref="B84:C84"/>
    <mergeCell ref="D84:J84"/>
    <mergeCell ref="B85:C85"/>
    <mergeCell ref="D85:J85"/>
    <mergeCell ref="B86:C86"/>
    <mergeCell ref="D86:J86"/>
    <mergeCell ref="B93:C93"/>
    <mergeCell ref="D93:J93"/>
    <mergeCell ref="B94:C94"/>
    <mergeCell ref="D94:J94"/>
    <mergeCell ref="B95:C95"/>
    <mergeCell ref="D95:J95"/>
    <mergeCell ref="B90:C90"/>
    <mergeCell ref="D90:J90"/>
    <mergeCell ref="B91:C91"/>
    <mergeCell ref="D91:J91"/>
    <mergeCell ref="B92:C92"/>
    <mergeCell ref="D92:J92"/>
    <mergeCell ref="B99:C99"/>
    <mergeCell ref="D99:J99"/>
    <mergeCell ref="B100:C100"/>
    <mergeCell ref="D100:J100"/>
    <mergeCell ref="B101:C101"/>
    <mergeCell ref="D101:J101"/>
    <mergeCell ref="B96:C96"/>
    <mergeCell ref="D96:J96"/>
    <mergeCell ref="B97:C97"/>
    <mergeCell ref="D97:J97"/>
    <mergeCell ref="B98:C98"/>
    <mergeCell ref="D98:J98"/>
    <mergeCell ref="B107:C107"/>
    <mergeCell ref="D107:J107"/>
    <mergeCell ref="B108:C108"/>
    <mergeCell ref="D108:J108"/>
    <mergeCell ref="A111:J111"/>
    <mergeCell ref="A112:J112"/>
    <mergeCell ref="B102:C102"/>
    <mergeCell ref="D102:J102"/>
    <mergeCell ref="A104:J104"/>
    <mergeCell ref="B105:C105"/>
    <mergeCell ref="D105:J105"/>
    <mergeCell ref="B106:C106"/>
    <mergeCell ref="D106:J106"/>
    <mergeCell ref="B119:F119"/>
    <mergeCell ref="B120:F120"/>
    <mergeCell ref="B121:F121"/>
    <mergeCell ref="B122:F122"/>
    <mergeCell ref="B123:F123"/>
    <mergeCell ref="B124:F124"/>
    <mergeCell ref="A113:J113"/>
    <mergeCell ref="A114:J114"/>
    <mergeCell ref="A115:J115"/>
    <mergeCell ref="A116:J116"/>
    <mergeCell ref="A117:A118"/>
    <mergeCell ref="B117:F118"/>
    <mergeCell ref="B125:F125"/>
    <mergeCell ref="B126:F126"/>
    <mergeCell ref="B127:F127"/>
    <mergeCell ref="B128:F128"/>
    <mergeCell ref="B129:F129"/>
    <mergeCell ref="L129:L132"/>
    <mergeCell ref="B130:F130"/>
    <mergeCell ref="B131:F131"/>
    <mergeCell ref="B132:F132"/>
    <mergeCell ref="B134:F134"/>
    <mergeCell ref="B135:F135"/>
    <mergeCell ref="B136:F136"/>
    <mergeCell ref="B137:F137"/>
    <mergeCell ref="B138:F138"/>
    <mergeCell ref="L138:L142"/>
    <mergeCell ref="B139:F139"/>
    <mergeCell ref="B140:F140"/>
    <mergeCell ref="B141:F141"/>
    <mergeCell ref="B142:F142"/>
    <mergeCell ref="B150:F150"/>
    <mergeCell ref="B151:F151"/>
    <mergeCell ref="B152:F152"/>
    <mergeCell ref="B153:F153"/>
    <mergeCell ref="B154:F154"/>
    <mergeCell ref="B155:F155"/>
    <mergeCell ref="B143:F143"/>
    <mergeCell ref="B145:F145"/>
    <mergeCell ref="B146:F146"/>
    <mergeCell ref="B147:F147"/>
    <mergeCell ref="B148:F148"/>
    <mergeCell ref="B149:F149"/>
    <mergeCell ref="B167:F167"/>
    <mergeCell ref="B168:F168"/>
    <mergeCell ref="L168:L173"/>
    <mergeCell ref="B169:F169"/>
    <mergeCell ref="B174:F174"/>
    <mergeCell ref="B175:F175"/>
    <mergeCell ref="B156:F156"/>
    <mergeCell ref="B158:F158"/>
    <mergeCell ref="B159:F159"/>
    <mergeCell ref="B163:F163"/>
    <mergeCell ref="B164:F164"/>
    <mergeCell ref="B165:F165"/>
    <mergeCell ref="L182:L184"/>
    <mergeCell ref="B183:F183"/>
    <mergeCell ref="B184:F184"/>
    <mergeCell ref="B186:F186"/>
    <mergeCell ref="B187:F187"/>
    <mergeCell ref="B189:F189"/>
    <mergeCell ref="B176:F176"/>
    <mergeCell ref="B177:F177"/>
    <mergeCell ref="B178:F178"/>
    <mergeCell ref="B179:F179"/>
    <mergeCell ref="B181:F181"/>
    <mergeCell ref="B182:F182"/>
    <mergeCell ref="B201:F201"/>
    <mergeCell ref="B202:F202"/>
    <mergeCell ref="B203:F203"/>
    <mergeCell ref="B204:F204"/>
    <mergeCell ref="B205:F205"/>
    <mergeCell ref="B206:F206"/>
    <mergeCell ref="L190:L192"/>
    <mergeCell ref="B192:F192"/>
    <mergeCell ref="B194:F194"/>
    <mergeCell ref="B195:F195"/>
    <mergeCell ref="L195:L199"/>
    <mergeCell ref="B196:F196"/>
    <mergeCell ref="B197:F197"/>
    <mergeCell ref="B198:F198"/>
    <mergeCell ref="B199:F199"/>
    <mergeCell ref="B213:F213"/>
    <mergeCell ref="B214:F214"/>
    <mergeCell ref="B215:F215"/>
    <mergeCell ref="B216:F216"/>
    <mergeCell ref="B219:F219"/>
    <mergeCell ref="B220:F220"/>
    <mergeCell ref="B217:F217"/>
    <mergeCell ref="B207:F207"/>
    <mergeCell ref="B208:F208"/>
    <mergeCell ref="B209:F209"/>
    <mergeCell ref="B210:F210"/>
    <mergeCell ref="B211:F211"/>
    <mergeCell ref="B212:F212"/>
    <mergeCell ref="B227:F227"/>
    <mergeCell ref="B228:F228"/>
    <mergeCell ref="L228:L230"/>
    <mergeCell ref="B229:F229"/>
    <mergeCell ref="B230:F230"/>
    <mergeCell ref="B231:F231"/>
    <mergeCell ref="L220:L226"/>
    <mergeCell ref="B221:F221"/>
    <mergeCell ref="B222:F222"/>
    <mergeCell ref="B223:F223"/>
    <mergeCell ref="B224:F224"/>
    <mergeCell ref="B225:F225"/>
    <mergeCell ref="B226:F226"/>
    <mergeCell ref="B238:F238"/>
    <mergeCell ref="B241:F241"/>
    <mergeCell ref="B242:F242"/>
    <mergeCell ref="B243:F243"/>
    <mergeCell ref="B245:F245"/>
    <mergeCell ref="B246:F246"/>
    <mergeCell ref="B239:F239"/>
    <mergeCell ref="B232:F232"/>
    <mergeCell ref="B233:F233"/>
    <mergeCell ref="B234:F234"/>
    <mergeCell ref="B235:F235"/>
    <mergeCell ref="B236:F236"/>
    <mergeCell ref="B237:F237"/>
    <mergeCell ref="B253:F253"/>
    <mergeCell ref="B254:F254"/>
    <mergeCell ref="B255:F255"/>
    <mergeCell ref="A259:J259"/>
    <mergeCell ref="B260:F260"/>
    <mergeCell ref="B261:F261"/>
    <mergeCell ref="B247:F247"/>
    <mergeCell ref="B248:F248"/>
    <mergeCell ref="B249:F249"/>
    <mergeCell ref="B250:F250"/>
    <mergeCell ref="B251:F251"/>
    <mergeCell ref="B252:F252"/>
    <mergeCell ref="B269:F269"/>
    <mergeCell ref="B270:F270"/>
    <mergeCell ref="B271:F271"/>
    <mergeCell ref="B272:F272"/>
    <mergeCell ref="B273:F273"/>
    <mergeCell ref="B275:F275"/>
    <mergeCell ref="B262:F262"/>
    <mergeCell ref="B263:F263"/>
    <mergeCell ref="B264:F264"/>
    <mergeCell ref="B265:F265"/>
    <mergeCell ref="B267:F267"/>
    <mergeCell ref="B268:F268"/>
    <mergeCell ref="K296:K297"/>
    <mergeCell ref="A289:H289"/>
    <mergeCell ref="A290:H290"/>
    <mergeCell ref="A292:C292"/>
    <mergeCell ref="D292:J292"/>
    <mergeCell ref="A294:J294"/>
    <mergeCell ref="A295:J295"/>
    <mergeCell ref="B280:F280"/>
    <mergeCell ref="A285:H285"/>
    <mergeCell ref="A286:H286"/>
    <mergeCell ref="A287:H287"/>
    <mergeCell ref="A288:H288"/>
    <mergeCell ref="I288:J288"/>
    <mergeCell ref="A291:H291"/>
    <mergeCell ref="A298:J298"/>
    <mergeCell ref="B299:E299"/>
    <mergeCell ref="B300:E300"/>
    <mergeCell ref="B301:E301"/>
    <mergeCell ref="B302:E302"/>
    <mergeCell ref="B303:E303"/>
    <mergeCell ref="A296:A297"/>
    <mergeCell ref="B296:E297"/>
    <mergeCell ref="F296:F297"/>
    <mergeCell ref="G296:H296"/>
    <mergeCell ref="J296:J297"/>
    <mergeCell ref="B312:E312"/>
    <mergeCell ref="B313:E313"/>
    <mergeCell ref="B314:E314"/>
    <mergeCell ref="B315:E315"/>
    <mergeCell ref="B316:E316"/>
    <mergeCell ref="B317:E317"/>
    <mergeCell ref="B304:E304"/>
    <mergeCell ref="B307:E307"/>
    <mergeCell ref="B308:E308"/>
    <mergeCell ref="B309:E309"/>
    <mergeCell ref="B310:E310"/>
    <mergeCell ref="B311:E311"/>
    <mergeCell ref="A328:J328"/>
    <mergeCell ref="A329:E329"/>
    <mergeCell ref="F329:J329"/>
    <mergeCell ref="A330:E330"/>
    <mergeCell ref="F330:J330"/>
    <mergeCell ref="A331:E331"/>
    <mergeCell ref="F331:J331"/>
    <mergeCell ref="B320:E320"/>
    <mergeCell ref="B321:E321"/>
    <mergeCell ref="B322:E322"/>
    <mergeCell ref="B323:E323"/>
    <mergeCell ref="A325:F325"/>
    <mergeCell ref="A326:F326"/>
    <mergeCell ref="A335:E335"/>
    <mergeCell ref="F335:J335"/>
    <mergeCell ref="A337:J337"/>
    <mergeCell ref="A342:J342"/>
    <mergeCell ref="A343:J343"/>
    <mergeCell ref="A345:J345"/>
    <mergeCell ref="A332:E332"/>
    <mergeCell ref="F332:J332"/>
    <mergeCell ref="A333:E333"/>
    <mergeCell ref="F333:J333"/>
    <mergeCell ref="A334:E334"/>
    <mergeCell ref="F334:J334"/>
    <mergeCell ref="A359:E359"/>
    <mergeCell ref="F359:J359"/>
    <mergeCell ref="A360:E360"/>
    <mergeCell ref="F360:J360"/>
    <mergeCell ref="A394:J394"/>
    <mergeCell ref="B395:F395"/>
    <mergeCell ref="A346:J346"/>
    <mergeCell ref="A347:J347"/>
    <mergeCell ref="A349:J349"/>
    <mergeCell ref="A350:J350"/>
    <mergeCell ref="A358:E358"/>
    <mergeCell ref="F358:J358"/>
    <mergeCell ref="B413:F413"/>
    <mergeCell ref="B414:F414"/>
    <mergeCell ref="B402:F402"/>
    <mergeCell ref="B403:F403"/>
    <mergeCell ref="B404:F404"/>
    <mergeCell ref="B405:F405"/>
    <mergeCell ref="B407:F407"/>
    <mergeCell ref="B408:F408"/>
    <mergeCell ref="B396:F396"/>
    <mergeCell ref="B397:F397"/>
    <mergeCell ref="B398:F398"/>
    <mergeCell ref="B399:F399"/>
    <mergeCell ref="B400:F400"/>
    <mergeCell ref="B401:F401"/>
    <mergeCell ref="B276:F276"/>
    <mergeCell ref="B277:F277"/>
    <mergeCell ref="A443:E443"/>
    <mergeCell ref="F443:J443"/>
    <mergeCell ref="A444:E444"/>
    <mergeCell ref="F444:J444"/>
    <mergeCell ref="A445:E445"/>
    <mergeCell ref="F445:J445"/>
    <mergeCell ref="B424:F424"/>
    <mergeCell ref="B425:F425"/>
    <mergeCell ref="B431:F431"/>
    <mergeCell ref="B434:F434"/>
    <mergeCell ref="A437:H437"/>
    <mergeCell ref="A438:J438"/>
    <mergeCell ref="B415:F415"/>
    <mergeCell ref="B416:F416"/>
    <mergeCell ref="B417:F417"/>
    <mergeCell ref="B418:F418"/>
    <mergeCell ref="B419:F419"/>
    <mergeCell ref="B420:F420"/>
    <mergeCell ref="B409:F409"/>
    <mergeCell ref="B410:F410"/>
    <mergeCell ref="B411:F411"/>
    <mergeCell ref="B412:F412"/>
  </mergeCells>
  <printOptions horizontalCentered="1" verticalCentered="1"/>
  <pageMargins left="0.39370078740157483" right="0.35433070866141736" top="0.19685039370078741" bottom="1.0629921259842521" header="0.31496062992125984" footer="0.31496062992125984"/>
  <pageSetup paperSize="9" scale="60" orientation="portrait" verticalDpi="4294967293" r:id="rId1"/>
  <headerFooter>
    <oddFooter>&amp;R&amp;G</oddFooter>
  </headerFooter>
  <rowBreaks count="1" manualBreakCount="1">
    <brk id="393" max="16383" man="1"/>
  </rowBreaks>
  <drawing r:id="rId2"/>
  <legacyDrawingHF r:id="rId3"/>
</worksheet>
</file>

<file path=xl/worksheets/sheet6.xml><?xml version="1.0" encoding="utf-8"?>
<worksheet xmlns="http://schemas.openxmlformats.org/spreadsheetml/2006/main" xmlns:r="http://schemas.openxmlformats.org/officeDocument/2006/relationships">
  <dimension ref="A1:HR31"/>
  <sheetViews>
    <sheetView view="pageBreakPreview" topLeftCell="A10" zoomScaleNormal="70" zoomScaleSheetLayoutView="100" zoomScalePageLayoutView="80" workbookViewId="0">
      <selection activeCell="D8" sqref="D8"/>
    </sheetView>
  </sheetViews>
  <sheetFormatPr defaultColWidth="8.85546875" defaultRowHeight="15"/>
  <cols>
    <col min="1" max="1" width="35.28515625" style="1209" customWidth="1"/>
    <col min="2" max="2" width="17.85546875" style="1209" customWidth="1"/>
    <col min="3" max="3" width="16.42578125" style="1209" customWidth="1"/>
    <col min="4" max="4" width="17.42578125" style="1209" customWidth="1"/>
    <col min="5" max="5" width="16.140625" style="1209" customWidth="1"/>
    <col min="6" max="6" width="17.85546875" style="1209" customWidth="1"/>
    <col min="7" max="7" width="16.85546875" style="1209" customWidth="1"/>
    <col min="8" max="8" width="18.140625" style="1209" customWidth="1"/>
    <col min="9" max="9" width="16.140625" customWidth="1"/>
    <col min="10" max="10" width="19.7109375" style="1210" customWidth="1"/>
    <col min="12" max="12" width="19" customWidth="1"/>
  </cols>
  <sheetData>
    <row r="1" spans="1:12">
      <c r="A1" s="1238"/>
      <c r="B1" s="1239"/>
      <c r="C1" s="1239"/>
      <c r="D1" s="1239"/>
      <c r="E1" s="1239"/>
      <c r="F1" s="1239"/>
      <c r="G1" s="1239"/>
      <c r="H1" s="1271"/>
    </row>
    <row r="2" spans="1:12" ht="28.15" customHeight="1">
      <c r="A2" s="1246"/>
      <c r="B2" s="1243"/>
      <c r="C2" s="1243"/>
      <c r="D2" s="1243"/>
      <c r="E2" s="1243"/>
      <c r="F2" s="1243"/>
      <c r="G2" s="1243"/>
      <c r="H2" s="1272" t="s">
        <v>682</v>
      </c>
    </row>
    <row r="3" spans="1:12" ht="27.6" customHeight="1">
      <c r="A3" s="1246"/>
      <c r="B3" s="1243"/>
      <c r="C3" s="1243"/>
      <c r="D3" s="1243"/>
      <c r="E3" s="1243"/>
      <c r="F3" s="1243"/>
      <c r="G3" s="1243"/>
      <c r="H3" s="1272" t="s">
        <v>683</v>
      </c>
    </row>
    <row r="4" spans="1:12" ht="34.15" customHeight="1" thickBot="1">
      <c r="A4" s="1251"/>
      <c r="B4" s="1252"/>
      <c r="C4" s="1252"/>
      <c r="D4" s="1252"/>
      <c r="E4" s="1252"/>
      <c r="F4" s="1252"/>
      <c r="G4" s="1252"/>
      <c r="H4" s="1273" t="s">
        <v>684</v>
      </c>
    </row>
    <row r="5" spans="1:12" ht="15" customHeight="1" thickBot="1"/>
    <row r="6" spans="1:12" s="11" customFormat="1" ht="25.15" customHeight="1">
      <c r="A6" s="1782" t="s">
        <v>702</v>
      </c>
      <c r="B6" s="1783"/>
      <c r="C6" s="1783"/>
      <c r="D6" s="1783"/>
      <c r="E6" s="1783"/>
      <c r="F6" s="1783"/>
      <c r="G6" s="1783"/>
      <c r="H6" s="1784"/>
      <c r="J6" s="1211"/>
    </row>
    <row r="7" spans="1:12" s="11" customFormat="1" ht="18.75">
      <c r="A7" s="1265"/>
      <c r="B7" s="1266"/>
      <c r="C7" s="1266"/>
      <c r="D7" s="1266"/>
      <c r="E7" s="1266"/>
      <c r="F7" s="1266"/>
      <c r="G7" s="1266"/>
      <c r="H7" s="1267"/>
      <c r="J7" s="1211"/>
    </row>
    <row r="8" spans="1:12" s="11" customFormat="1" ht="20.45" customHeight="1">
      <c r="A8" s="1268" t="s">
        <v>696</v>
      </c>
      <c r="B8" s="1266"/>
      <c r="C8" s="1266"/>
      <c r="D8" s="1266"/>
      <c r="E8" s="1266"/>
      <c r="F8" s="1266"/>
      <c r="G8" s="1266"/>
      <c r="H8" s="1267"/>
      <c r="J8" s="1211"/>
    </row>
    <row r="9" spans="1:12" s="11" customFormat="1" ht="21" customHeight="1">
      <c r="A9" s="1268" t="s">
        <v>697</v>
      </c>
      <c r="B9" s="1266"/>
      <c r="C9" s="1266"/>
      <c r="D9" s="1266"/>
      <c r="E9" s="1266"/>
      <c r="F9" s="1266"/>
      <c r="G9" s="1266"/>
      <c r="H9" s="1267"/>
      <c r="J9" s="1211"/>
    </row>
    <row r="10" spans="1:12" s="11" customFormat="1" ht="15.75" thickBot="1">
      <c r="A10" s="1215"/>
      <c r="B10" s="1264"/>
      <c r="C10" s="1264"/>
      <c r="D10" s="1264"/>
      <c r="E10" s="1264"/>
      <c r="F10" s="1264"/>
      <c r="G10" s="1264"/>
      <c r="H10" s="1269"/>
      <c r="J10" s="1211"/>
    </row>
    <row r="11" spans="1:12" s="1212" customFormat="1" ht="22.15" customHeight="1" thickBot="1">
      <c r="A11" s="1213" t="s">
        <v>685</v>
      </c>
      <c r="B11" s="1213" t="s">
        <v>686</v>
      </c>
      <c r="C11" s="1213" t="s">
        <v>687</v>
      </c>
      <c r="D11" s="1213" t="s">
        <v>688</v>
      </c>
      <c r="E11" s="1213" t="s">
        <v>689</v>
      </c>
      <c r="F11" s="1213" t="s">
        <v>690</v>
      </c>
      <c r="G11" s="1213" t="s">
        <v>691</v>
      </c>
      <c r="H11" s="1214" t="s">
        <v>286</v>
      </c>
      <c r="I11" s="1264"/>
      <c r="J11" s="1216" t="s">
        <v>692</v>
      </c>
      <c r="L11" s="1217" t="s">
        <v>693</v>
      </c>
    </row>
    <row r="12" spans="1:12" s="11" customFormat="1" ht="21.2" customHeight="1">
      <c r="A12" s="1778" t="s">
        <v>698</v>
      </c>
      <c r="B12" s="1260">
        <v>0.25</v>
      </c>
      <c r="C12" s="1261">
        <v>0.5</v>
      </c>
      <c r="D12" s="1260">
        <v>0.25</v>
      </c>
      <c r="E12" s="1218"/>
      <c r="F12" s="1218"/>
      <c r="G12" s="1219"/>
      <c r="H12" s="1220">
        <f t="shared" ref="H12:H17" si="0">SUM(B12:G12)</f>
        <v>1</v>
      </c>
      <c r="I12" s="1221"/>
      <c r="J12" s="1785">
        <f>REV02_2022!K298</f>
        <v>80136.112425230327</v>
      </c>
      <c r="L12" s="1786"/>
    </row>
    <row r="13" spans="1:12" s="11" customFormat="1" ht="21.2" customHeight="1" thickBot="1">
      <c r="A13" s="1779"/>
      <c r="B13" s="1222">
        <f>B12*$J$12</f>
        <v>20034.028106307582</v>
      </c>
      <c r="C13" s="1222">
        <f t="shared" ref="C13:D13" si="1">C12*$J$12</f>
        <v>40068.056212615164</v>
      </c>
      <c r="D13" s="1222">
        <f t="shared" si="1"/>
        <v>20034.028106307582</v>
      </c>
      <c r="E13" s="1222"/>
      <c r="F13" s="1222"/>
      <c r="G13" s="1223"/>
      <c r="H13" s="1224">
        <f t="shared" si="0"/>
        <v>80136.112425230327</v>
      </c>
      <c r="I13" s="1221"/>
      <c r="J13" s="1785"/>
      <c r="L13" s="1787"/>
    </row>
    <row r="14" spans="1:12" s="11" customFormat="1" ht="27.75" customHeight="1">
      <c r="A14" s="1778" t="s">
        <v>699</v>
      </c>
      <c r="B14" s="1225"/>
      <c r="C14" s="1261">
        <v>0.25</v>
      </c>
      <c r="D14" s="1260">
        <v>0.5</v>
      </c>
      <c r="E14" s="1262">
        <v>0.25</v>
      </c>
      <c r="F14" s="1225"/>
      <c r="G14" s="1227"/>
      <c r="H14" s="1220">
        <f t="shared" si="0"/>
        <v>1</v>
      </c>
      <c r="I14" s="1221"/>
      <c r="J14" s="1228">
        <f>REV02_2022!K306</f>
        <v>49139.25</v>
      </c>
      <c r="L14" s="1780"/>
    </row>
    <row r="15" spans="1:12" s="11" customFormat="1" ht="30" customHeight="1" thickBot="1">
      <c r="A15" s="1779"/>
      <c r="B15" s="1222">
        <f>B14*$J$14</f>
        <v>0</v>
      </c>
      <c r="C15" s="1222">
        <f t="shared" ref="C15:E15" si="2">C14*$J$14</f>
        <v>12284.8125</v>
      </c>
      <c r="D15" s="1222">
        <f t="shared" si="2"/>
        <v>24569.625</v>
      </c>
      <c r="E15" s="1222">
        <f t="shared" si="2"/>
        <v>12284.8125</v>
      </c>
      <c r="F15" s="1222"/>
      <c r="G15" s="1223"/>
      <c r="H15" s="1224">
        <f t="shared" si="0"/>
        <v>49139.25</v>
      </c>
      <c r="I15" s="1229"/>
      <c r="J15" s="1230"/>
      <c r="L15" s="1781"/>
    </row>
    <row r="16" spans="1:12" s="11" customFormat="1" ht="21" customHeight="1">
      <c r="A16" s="1778" t="s">
        <v>700</v>
      </c>
      <c r="B16" s="1225"/>
      <c r="C16" s="1226"/>
      <c r="D16" s="1231"/>
      <c r="E16" s="1260"/>
      <c r="F16" s="1260">
        <v>1</v>
      </c>
      <c r="G16" s="1232"/>
      <c r="H16" s="1220">
        <f t="shared" si="0"/>
        <v>1</v>
      </c>
      <c r="I16" s="1229"/>
      <c r="J16" s="1228">
        <f>REV02_2022!K319</f>
        <v>6838.72</v>
      </c>
      <c r="L16" s="1780"/>
    </row>
    <row r="17" spans="1:226" s="11" customFormat="1" ht="32.25" customHeight="1" thickBot="1">
      <c r="A17" s="1779"/>
      <c r="B17" s="1222">
        <f>B16*$J$16</f>
        <v>0</v>
      </c>
      <c r="C17" s="1222">
        <f t="shared" ref="C17" si="3">C16*$J$16</f>
        <v>0</v>
      </c>
      <c r="D17" s="1222"/>
      <c r="E17" s="1222"/>
      <c r="F17" s="1222">
        <f>F16*J16</f>
        <v>6838.72</v>
      </c>
      <c r="G17" s="1223"/>
      <c r="H17" s="1224">
        <f t="shared" si="0"/>
        <v>6838.72</v>
      </c>
      <c r="I17" s="1229"/>
      <c r="J17" s="1230"/>
      <c r="L17" s="1781"/>
    </row>
    <row r="18" spans="1:226" s="11" customFormat="1" ht="21.2" customHeight="1">
      <c r="A18" s="1237"/>
      <c r="B18" s="1233"/>
      <c r="C18" s="1233"/>
      <c r="D18" s="1233"/>
      <c r="E18" s="1233"/>
      <c r="F18" s="1233"/>
      <c r="G18" s="1263" t="s">
        <v>701</v>
      </c>
      <c r="H18" s="1270">
        <f>H13+H15+H17</f>
        <v>136114.08242523033</v>
      </c>
      <c r="I18" s="1235"/>
      <c r="J18" s="1236"/>
      <c r="K18" s="1221"/>
      <c r="L18" s="1234"/>
      <c r="M18" s="1221"/>
      <c r="N18" s="1221"/>
      <c r="O18" s="1221"/>
      <c r="P18" s="1221"/>
      <c r="Q18" s="1221"/>
      <c r="R18" s="1221"/>
      <c r="S18" s="1221"/>
      <c r="T18" s="1221"/>
      <c r="U18" s="1221"/>
      <c r="V18" s="1221"/>
      <c r="W18" s="1221"/>
      <c r="X18" s="1221"/>
      <c r="Y18" s="1221"/>
      <c r="Z18" s="1221"/>
      <c r="AA18" s="1221"/>
      <c r="AB18" s="1221"/>
      <c r="AC18" s="1221"/>
      <c r="AD18" s="1221"/>
      <c r="AE18" s="1221"/>
      <c r="AF18" s="1221"/>
      <c r="AG18" s="1221"/>
      <c r="AH18" s="1221"/>
      <c r="AI18" s="1221"/>
      <c r="AJ18" s="1221"/>
      <c r="AK18" s="1221"/>
      <c r="AL18" s="1221"/>
      <c r="AM18" s="1221"/>
      <c r="AN18" s="1221"/>
      <c r="AO18" s="1221"/>
      <c r="AP18" s="1221"/>
      <c r="AQ18" s="1221"/>
      <c r="AR18" s="1221"/>
      <c r="AS18" s="1221"/>
      <c r="AT18" s="1221"/>
      <c r="AU18" s="1221"/>
      <c r="AV18" s="1221"/>
      <c r="AW18" s="1221"/>
      <c r="AX18" s="1221"/>
      <c r="AY18" s="1221"/>
      <c r="AZ18" s="1221"/>
      <c r="BA18" s="1221"/>
      <c r="BB18" s="1221"/>
      <c r="BC18" s="1221"/>
      <c r="BD18" s="1221"/>
      <c r="BE18" s="1221"/>
      <c r="BF18" s="1221"/>
      <c r="BG18" s="1221"/>
      <c r="BH18" s="1221"/>
      <c r="BI18" s="1221"/>
      <c r="BJ18" s="1221"/>
      <c r="BK18" s="1221"/>
      <c r="BL18" s="1221"/>
      <c r="BM18" s="1221"/>
      <c r="BN18" s="1221"/>
      <c r="BO18" s="1221"/>
      <c r="BP18" s="1221"/>
      <c r="BQ18" s="1221"/>
      <c r="BR18" s="1221"/>
      <c r="BS18" s="1221"/>
      <c r="BT18" s="1221"/>
      <c r="BU18" s="1221"/>
      <c r="BV18" s="1221"/>
      <c r="BW18" s="1221"/>
      <c r="BX18" s="1221"/>
      <c r="BY18" s="1221"/>
      <c r="BZ18" s="1221"/>
      <c r="CA18" s="1221"/>
      <c r="CB18" s="1221"/>
      <c r="CC18" s="1221"/>
      <c r="CD18" s="1221"/>
      <c r="CE18" s="1221"/>
      <c r="CF18" s="1221"/>
      <c r="CG18" s="1221"/>
      <c r="CH18" s="1221"/>
      <c r="CI18" s="1221"/>
      <c r="CJ18" s="1221"/>
      <c r="CK18" s="1221"/>
      <c r="CL18" s="1221"/>
      <c r="CM18" s="1221"/>
      <c r="CN18" s="1221"/>
      <c r="CO18" s="1221"/>
      <c r="CP18" s="1221"/>
      <c r="CQ18" s="1221"/>
      <c r="CR18" s="1221"/>
      <c r="CS18" s="1221"/>
      <c r="CT18" s="1221"/>
      <c r="CU18" s="1221"/>
      <c r="CV18" s="1221"/>
      <c r="CW18" s="1221"/>
      <c r="CX18" s="1221"/>
      <c r="CY18" s="1221"/>
      <c r="CZ18" s="1221"/>
      <c r="DA18" s="1221"/>
      <c r="DB18" s="1221"/>
      <c r="DC18" s="1221"/>
      <c r="DD18" s="1221"/>
      <c r="DE18" s="1221"/>
      <c r="DF18" s="1221"/>
      <c r="DG18" s="1221"/>
      <c r="DH18" s="1221"/>
      <c r="DI18" s="1221"/>
      <c r="DJ18" s="1221"/>
      <c r="DK18" s="1221"/>
      <c r="DL18" s="1221"/>
      <c r="DM18" s="1221"/>
      <c r="DN18" s="1221"/>
      <c r="DO18" s="1221"/>
      <c r="DP18" s="1221"/>
      <c r="DQ18" s="1221"/>
      <c r="DR18" s="1221"/>
      <c r="DS18" s="1221"/>
      <c r="DT18" s="1221"/>
      <c r="DU18" s="1221"/>
      <c r="DV18" s="1221"/>
      <c r="DW18" s="1221"/>
      <c r="DX18" s="1221"/>
      <c r="DY18" s="1221"/>
      <c r="DZ18" s="1221"/>
      <c r="EA18" s="1221"/>
      <c r="EB18" s="1221"/>
      <c r="EC18" s="1221"/>
      <c r="ED18" s="1221"/>
      <c r="EE18" s="1221"/>
      <c r="EF18" s="1221"/>
      <c r="EG18" s="1221"/>
      <c r="EH18" s="1221"/>
      <c r="EI18" s="1221"/>
      <c r="EJ18" s="1221"/>
      <c r="EK18" s="1221"/>
      <c r="EL18" s="1221"/>
      <c r="EM18" s="1221"/>
      <c r="EN18" s="1221"/>
      <c r="EO18" s="1221"/>
      <c r="EP18" s="1221"/>
      <c r="EQ18" s="1221"/>
      <c r="ER18" s="1221"/>
      <c r="ES18" s="1221"/>
      <c r="ET18" s="1221"/>
      <c r="EU18" s="1221"/>
      <c r="EV18" s="1221"/>
      <c r="EW18" s="1221"/>
      <c r="EX18" s="1221"/>
      <c r="EY18" s="1221"/>
      <c r="EZ18" s="1221"/>
      <c r="FA18" s="1221"/>
      <c r="FB18" s="1221"/>
      <c r="FC18" s="1221"/>
      <c r="FD18" s="1221"/>
      <c r="FE18" s="1221"/>
      <c r="FF18" s="1221"/>
      <c r="FG18" s="1221"/>
      <c r="FH18" s="1221"/>
      <c r="FI18" s="1221"/>
      <c r="FJ18" s="1221"/>
      <c r="FK18" s="1221"/>
      <c r="FL18" s="1221"/>
      <c r="FM18" s="1221"/>
      <c r="FN18" s="1221"/>
      <c r="FO18" s="1221"/>
      <c r="FP18" s="1221"/>
      <c r="FQ18" s="1221"/>
      <c r="FR18" s="1221"/>
      <c r="FS18" s="1221"/>
      <c r="FT18" s="1221"/>
      <c r="FU18" s="1221"/>
      <c r="FV18" s="1221"/>
      <c r="FW18" s="1221"/>
      <c r="FX18" s="1221"/>
      <c r="FY18" s="1221"/>
      <c r="FZ18" s="1221"/>
      <c r="GA18" s="1221"/>
      <c r="GB18" s="1221"/>
      <c r="GC18" s="1221"/>
      <c r="GD18" s="1221"/>
      <c r="GE18" s="1221"/>
      <c r="GF18" s="1221"/>
      <c r="GG18" s="1221"/>
      <c r="GH18" s="1221"/>
      <c r="GI18" s="1221"/>
      <c r="GJ18" s="1221"/>
      <c r="GK18" s="1221"/>
      <c r="GL18" s="1221"/>
      <c r="GM18" s="1221"/>
      <c r="GN18" s="1221"/>
      <c r="GO18" s="1221"/>
      <c r="GP18" s="1221"/>
      <c r="GQ18" s="1221"/>
      <c r="GR18" s="1221"/>
      <c r="GS18" s="1221"/>
      <c r="GT18" s="1221"/>
      <c r="GU18" s="1221"/>
      <c r="GV18" s="1221"/>
      <c r="GW18" s="1221"/>
      <c r="GX18" s="1221"/>
      <c r="GY18" s="1221"/>
      <c r="GZ18" s="1221"/>
      <c r="HA18" s="1221"/>
      <c r="HB18" s="1221"/>
      <c r="HC18" s="1221"/>
      <c r="HD18" s="1221"/>
      <c r="HE18" s="1221"/>
      <c r="HF18" s="1221"/>
      <c r="HG18" s="1221"/>
      <c r="HH18" s="1221"/>
      <c r="HI18" s="1221"/>
      <c r="HJ18" s="1221"/>
      <c r="HK18" s="1221"/>
      <c r="HL18" s="1221"/>
      <c r="HM18" s="1221"/>
      <c r="HN18" s="1221"/>
      <c r="HO18" s="1221"/>
      <c r="HP18" s="1221"/>
      <c r="HQ18" s="1221"/>
      <c r="HR18" s="1221"/>
    </row>
    <row r="19" spans="1:226" ht="18.75">
      <c r="A19" s="1242">
        <v>2.43896739384507E-2</v>
      </c>
      <c r="B19" s="1243"/>
      <c r="C19" s="1243"/>
      <c r="D19" s="1243"/>
      <c r="E19" s="1243"/>
      <c r="F19" s="1243"/>
      <c r="G19" s="1243"/>
      <c r="H19" s="1244"/>
      <c r="I19" s="1241"/>
      <c r="L19" s="1245"/>
    </row>
    <row r="20" spans="1:226" ht="18.75">
      <c r="A20" s="1246"/>
      <c r="B20" s="1243"/>
      <c r="C20" s="1243"/>
      <c r="D20" s="1243"/>
      <c r="E20" s="1243"/>
      <c r="F20" s="1243"/>
      <c r="G20" s="1243"/>
      <c r="H20" s="1244"/>
      <c r="I20" s="1247"/>
      <c r="L20" s="1248"/>
    </row>
    <row r="21" spans="1:226" ht="18.75">
      <c r="A21" s="1246"/>
      <c r="B21" s="1243"/>
      <c r="C21" s="1243"/>
      <c r="D21" s="1243"/>
      <c r="E21" s="1243"/>
      <c r="F21" s="1243"/>
      <c r="G21" s="1243"/>
      <c r="H21" s="1240"/>
      <c r="I21" s="1241"/>
      <c r="L21" s="1249"/>
    </row>
    <row r="22" spans="1:226" ht="18.75">
      <c r="A22" s="1246"/>
      <c r="B22" s="1243"/>
      <c r="C22" s="1243"/>
      <c r="D22" s="1243"/>
      <c r="E22" s="1243"/>
      <c r="F22" s="1243"/>
      <c r="G22" s="1243"/>
      <c r="H22" s="1244"/>
      <c r="I22" s="1241"/>
      <c r="L22" s="1249"/>
    </row>
    <row r="23" spans="1:226" ht="18.75">
      <c r="A23" s="1246"/>
      <c r="B23" s="1243"/>
      <c r="C23" s="1243"/>
      <c r="D23" s="1243"/>
      <c r="E23" s="1243"/>
      <c r="F23" s="1243"/>
      <c r="G23" s="1243"/>
      <c r="H23" s="1240"/>
      <c r="I23" s="1241"/>
      <c r="L23" s="1249"/>
    </row>
    <row r="24" spans="1:226">
      <c r="A24" s="1246"/>
      <c r="B24" s="1243"/>
      <c r="C24" s="1243"/>
      <c r="D24" s="1243"/>
      <c r="E24" s="1243"/>
      <c r="F24" s="1243"/>
      <c r="G24" s="1243"/>
      <c r="H24" s="1240"/>
      <c r="I24" s="1241"/>
    </row>
    <row r="25" spans="1:226" ht="15.75">
      <c r="A25" s="1246"/>
      <c r="B25" s="1243"/>
      <c r="C25" s="1243"/>
      <c r="D25" s="1243"/>
      <c r="E25" s="1243"/>
      <c r="F25" s="1243"/>
      <c r="G25" s="1243"/>
      <c r="H25" s="1250"/>
      <c r="I25" s="1241"/>
    </row>
    <row r="26" spans="1:226">
      <c r="A26" s="1246"/>
      <c r="B26" s="1243"/>
      <c r="C26" s="1243"/>
      <c r="D26" s="1243"/>
      <c r="E26" s="1243"/>
      <c r="F26" s="1243"/>
      <c r="G26" s="1243"/>
      <c r="H26" s="1240"/>
      <c r="I26" s="1241"/>
    </row>
    <row r="27" spans="1:226" ht="18.75">
      <c r="A27" s="1772" t="s">
        <v>694</v>
      </c>
      <c r="B27" s="1773"/>
      <c r="C27" s="1773"/>
      <c r="D27" s="1773"/>
      <c r="E27" s="1773"/>
      <c r="F27" s="1773"/>
      <c r="G27" s="1773"/>
      <c r="H27" s="1774"/>
      <c r="I27" s="1241"/>
    </row>
    <row r="28" spans="1:226" ht="18.75">
      <c r="A28" s="1772" t="s">
        <v>695</v>
      </c>
      <c r="B28" s="1773"/>
      <c r="C28" s="1773"/>
      <c r="D28" s="1773"/>
      <c r="E28" s="1773"/>
      <c r="F28" s="1773"/>
      <c r="G28" s="1773"/>
      <c r="H28" s="1774"/>
      <c r="I28" s="1241"/>
    </row>
    <row r="29" spans="1:226" ht="19.5" thickBot="1">
      <c r="A29" s="1775"/>
      <c r="B29" s="1776"/>
      <c r="C29" s="1776"/>
      <c r="D29" s="1776"/>
      <c r="E29" s="1776"/>
      <c r="F29" s="1776"/>
      <c r="G29" s="1776"/>
      <c r="H29" s="1777"/>
      <c r="I29" s="1241"/>
    </row>
    <row r="30" spans="1:226">
      <c r="A30" s="1246"/>
      <c r="B30" s="1243"/>
      <c r="C30" s="1243"/>
      <c r="D30" s="1243"/>
      <c r="E30" s="1243"/>
      <c r="F30" s="1243"/>
      <c r="G30" s="1243"/>
      <c r="H30" s="1240"/>
      <c r="I30" s="1241"/>
    </row>
    <row r="31" spans="1:226" ht="15.75" thickBot="1">
      <c r="A31" s="1251"/>
      <c r="B31" s="1252"/>
      <c r="C31" s="1252"/>
      <c r="D31" s="1252"/>
      <c r="E31" s="1252"/>
      <c r="F31" s="1252"/>
      <c r="G31" s="1252"/>
      <c r="H31" s="1253"/>
      <c r="I31" s="1241"/>
    </row>
  </sheetData>
  <mergeCells count="11">
    <mergeCell ref="A6:H6"/>
    <mergeCell ref="A12:A13"/>
    <mergeCell ref="J12:J13"/>
    <mergeCell ref="L12:L13"/>
    <mergeCell ref="A14:A15"/>
    <mergeCell ref="L14:L15"/>
    <mergeCell ref="A27:H27"/>
    <mergeCell ref="A28:H28"/>
    <mergeCell ref="A29:H29"/>
    <mergeCell ref="A16:A17"/>
    <mergeCell ref="L16:L17"/>
  </mergeCells>
  <conditionalFormatting sqref="B17:G18 B13:G13 B15:G15">
    <cfRule type="cellIs" dxfId="18" priority="59" operator="equal">
      <formula>0</formula>
    </cfRule>
  </conditionalFormatting>
  <conditionalFormatting sqref="B14:G14 B12:G12 B16:G16">
    <cfRule type="cellIs" dxfId="17" priority="55" operator="greaterThan">
      <formula>0</formula>
    </cfRule>
    <cfRule type="cellIs" dxfId="16" priority="56" operator="greaterThan">
      <formula>0</formula>
    </cfRule>
    <cfRule type="cellIs" dxfId="15" priority="57" operator="greaterThan">
      <formula>0</formula>
    </cfRule>
    <cfRule type="cellIs" dxfId="14" priority="58" operator="greaterThan">
      <formula>0</formula>
    </cfRule>
  </conditionalFormatting>
  <conditionalFormatting sqref="B14:G14 B16:G16">
    <cfRule type="cellIs" dxfId="13" priority="52" operator="greaterThan">
      <formula>0</formula>
    </cfRule>
    <cfRule type="cellIs" dxfId="12" priority="53" operator="greaterThan">
      <formula>0</formula>
    </cfRule>
    <cfRule type="cellIs" dxfId="11" priority="54" operator="greaterThan">
      <formula>0</formula>
    </cfRule>
  </conditionalFormatting>
  <conditionalFormatting sqref="B12 B14:G14 B16:C16">
    <cfRule type="cellIs" dxfId="10" priority="51" operator="greaterThan">
      <formula>0</formula>
    </cfRule>
  </conditionalFormatting>
  <conditionalFormatting sqref="C12">
    <cfRule type="cellIs" dxfId="9" priority="8" operator="greaterThan">
      <formula>0</formula>
    </cfRule>
    <cfRule type="cellIs" dxfId="8" priority="9" operator="greaterThan">
      <formula>0</formula>
    </cfRule>
    <cfRule type="cellIs" dxfId="7" priority="10" operator="greaterThan">
      <formula>0</formula>
    </cfRule>
  </conditionalFormatting>
  <conditionalFormatting sqref="C12">
    <cfRule type="cellIs" dxfId="6" priority="7" operator="greaterThan">
      <formula>0</formula>
    </cfRule>
  </conditionalFormatting>
  <conditionalFormatting sqref="D12">
    <cfRule type="cellIs" dxfId="5" priority="4" operator="greaterThan">
      <formula>0</formula>
    </cfRule>
    <cfRule type="cellIs" dxfId="4" priority="5" operator="greaterThan">
      <formula>0</formula>
    </cfRule>
    <cfRule type="cellIs" dxfId="3" priority="6" operator="greaterThan">
      <formula>0</formula>
    </cfRule>
  </conditionalFormatting>
  <conditionalFormatting sqref="D12">
    <cfRule type="cellIs" dxfId="2" priority="3" operator="greaterThan">
      <formula>0</formula>
    </cfRule>
  </conditionalFormatting>
  <conditionalFormatting sqref="E16">
    <cfRule type="cellIs" dxfId="1" priority="2" operator="greaterThan">
      <formula>0</formula>
    </cfRule>
  </conditionalFormatting>
  <conditionalFormatting sqref="F16">
    <cfRule type="cellIs" dxfId="0" priority="1" operator="greaterThan">
      <formula>0</formula>
    </cfRule>
  </conditionalFormatting>
  <pageMargins left="0.62992125984251968" right="0.23622047244094491" top="7.874015748031496E-2" bottom="0.43307086614173229" header="0.31496062992125984" footer="0.31496062992125984"/>
  <pageSetup paperSize="9" scale="8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8</vt:i4>
      </vt:variant>
    </vt:vector>
  </HeadingPairs>
  <TitlesOfParts>
    <vt:vector size="14" baseType="lpstr">
      <vt:lpstr>Plan1</vt:lpstr>
      <vt:lpstr>Plan2</vt:lpstr>
      <vt:lpstr>13_2020</vt:lpstr>
      <vt:lpstr>REV00_2022</vt:lpstr>
      <vt:lpstr>REV02_2022</vt:lpstr>
      <vt:lpstr>Crono_LICI</vt:lpstr>
      <vt:lpstr>'13_2020'!Area_de_impressao</vt:lpstr>
      <vt:lpstr>Crono_LICI!Area_de_impressao</vt:lpstr>
      <vt:lpstr>REV00_2022!Area_de_impressao</vt:lpstr>
      <vt:lpstr>REV02_2022!Area_de_impressao</vt:lpstr>
      <vt:lpstr>'13_2020'!Titulos_de_impressao</vt:lpstr>
      <vt:lpstr>Crono_LICI!Titulos_de_impressao</vt:lpstr>
      <vt:lpstr>REV00_2022!Titulos_de_impressao</vt:lpstr>
      <vt:lpstr>REV02_2022!Titulos_de_impressao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dc:creator>
  <cp:lastModifiedBy>juliana</cp:lastModifiedBy>
  <cp:lastPrinted>2022-03-08T18:38:20Z</cp:lastPrinted>
  <dcterms:created xsi:type="dcterms:W3CDTF">2014-05-29T16:17:45Z</dcterms:created>
  <dcterms:modified xsi:type="dcterms:W3CDTF">2022-03-08T18:39:25Z</dcterms:modified>
</cp:coreProperties>
</file>